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rawings/drawing9.xml" ContentType="application/vnd.openxmlformats-officedocument.drawing+xml"/>
  <Override PartName="/xl/drawings/drawing10.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131"/>
  <workbookPr defaultThemeVersion="202300"/>
  <mc:AlternateContent xmlns:mc="http://schemas.openxmlformats.org/markup-compatibility/2006">
    <mc:Choice Requires="x15">
      <x15ac:absPath xmlns:x15ac="http://schemas.microsoft.com/office/spreadsheetml/2010/11/ac" url="https://nextvastgoed-my.sharepoint.com/personal/nico_harkes_nextvastgoed_nl/Documents/Bedrijfsdata/Scobe/SCOBE 2026/Nieuwsbrieven/PVG/"/>
    </mc:Choice>
  </mc:AlternateContent>
  <xr:revisionPtr revIDLastSave="0" documentId="8_{1F3B82E2-A993-4136-99BB-CA570D93ADF5}" xr6:coauthVersionLast="47" xr6:coauthVersionMax="47" xr10:uidLastSave="{00000000-0000-0000-0000-000000000000}"/>
  <bookViews>
    <workbookView xWindow="-108" yWindow="-108" windowWidth="23256" windowHeight="12456" tabRatio="859" xr2:uid="{92FC4194-9219-4D25-BADD-2A3A42ED3DE7}"/>
  </bookViews>
  <sheets>
    <sheet name="Titel" sheetId="1" r:id="rId1"/>
    <sheet name="Invulinstructie" sheetId="13" r:id="rId2"/>
    <sheet name="Vragenlijst" sheetId="2" r:id="rId3"/>
    <sheet name="Productenlijst" sheetId="8" r:id="rId4"/>
    <sheet name="Resultaat" sheetId="5" r:id="rId5"/>
    <sheet name="Kernoutput" sheetId="12" r:id="rId6"/>
    <sheet name="Bijdrage per eigenaar" sheetId="11" r:id="rId7"/>
    <sheet name="Onderbouwing CT" sheetId="9" r:id="rId8"/>
    <sheet name="Staffels &amp; Tabellen" sheetId="10" r:id="rId9"/>
    <sheet name="Uurtarieven" sheetId="7" r:id="rId10"/>
    <sheet name="Drop Down " sheetId="3" state="hidden" r:id="rId11"/>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36" i="9" l="1"/>
  <c r="F35" i="9"/>
  <c r="D132" i="2"/>
  <c r="H63" i="9" l="1"/>
  <c r="H50" i="9"/>
  <c r="E184" i="10"/>
  <c r="E183" i="10"/>
  <c r="E182" i="10"/>
  <c r="H13" i="11"/>
  <c r="T16" i="11"/>
  <c r="AB16" i="11"/>
  <c r="AJ16" i="11"/>
  <c r="L16" i="11"/>
  <c r="AS22" i="11"/>
  <c r="AS23" i="11"/>
  <c r="AS24" i="11"/>
  <c r="AK24" i="11"/>
  <c r="AK23" i="11"/>
  <c r="AK22" i="11"/>
  <c r="AC22" i="11"/>
  <c r="AC23" i="11"/>
  <c r="AC24" i="11"/>
  <c r="U24" i="11"/>
  <c r="U23" i="11"/>
  <c r="U22" i="11"/>
  <c r="M24" i="11"/>
  <c r="M23" i="11"/>
  <c r="M22" i="11"/>
  <c r="E80" i="2" l="1"/>
  <c r="G74" i="2"/>
  <c r="E74" i="2"/>
  <c r="E186" i="10" l="1"/>
  <c r="E185" i="10"/>
  <c r="E102" i="2"/>
  <c r="E23" i="11"/>
  <c r="E24" i="11"/>
  <c r="E22" i="11"/>
  <c r="D22" i="11"/>
  <c r="D21" i="11"/>
  <c r="C25" i="7"/>
  <c r="C26" i="7"/>
  <c r="C24" i="7"/>
  <c r="G115" i="2"/>
  <c r="G66" i="2"/>
  <c r="D321" i="10"/>
  <c r="D322" i="10" s="1"/>
  <c r="I133" i="8" s="1"/>
  <c r="H133" i="8"/>
  <c r="I74" i="8"/>
  <c r="H74" i="8"/>
  <c r="E42" i="2" l="1"/>
  <c r="G42" i="2" s="1"/>
  <c r="I121" i="8"/>
  <c r="I120" i="8"/>
  <c r="I119" i="8"/>
  <c r="I118" i="8"/>
  <c r="I65" i="8"/>
  <c r="I64" i="8"/>
  <c r="I63" i="8"/>
  <c r="I58" i="8"/>
  <c r="I57" i="8"/>
  <c r="I56" i="8"/>
  <c r="I55" i="8"/>
  <c r="I54" i="8"/>
  <c r="H8" i="10" l="1"/>
  <c r="H11" i="10" l="1"/>
  <c r="H9" i="10" s="1"/>
  <c r="H12" i="10"/>
  <c r="H13" i="10"/>
  <c r="H14" i="10"/>
  <c r="H15" i="10"/>
  <c r="H16" i="10"/>
  <c r="H17" i="10"/>
  <c r="H18" i="10"/>
  <c r="H19" i="10"/>
  <c r="B12" i="5"/>
  <c r="B2" i="2" l="1"/>
  <c r="E202" i="10"/>
  <c r="E201" i="10"/>
  <c r="E200" i="10"/>
  <c r="E194" i="10"/>
  <c r="E195" i="10"/>
  <c r="I53" i="8"/>
  <c r="C2" i="10" l="1"/>
  <c r="B2" i="8"/>
  <c r="B2" i="5"/>
  <c r="B2" i="12"/>
  <c r="B2" i="9"/>
  <c r="C12" i="5"/>
  <c r="D280" i="10" l="1"/>
  <c r="D281" i="10" s="1"/>
  <c r="D289" i="10" l="1"/>
  <c r="I20" i="8" s="1"/>
  <c r="J22" i="8"/>
  <c r="J21" i="8"/>
  <c r="J20" i="8"/>
  <c r="B19" i="3"/>
  <c r="B18" i="3"/>
  <c r="B23" i="3"/>
  <c r="D61" i="2"/>
  <c r="D116" i="2"/>
  <c r="C116" i="2"/>
  <c r="B25" i="3"/>
  <c r="B24" i="3"/>
  <c r="C44" i="2"/>
  <c r="C45" i="2"/>
  <c r="D44" i="2"/>
  <c r="G13" i="2" a="1"/>
  <c r="H38" i="8" l="1"/>
  <c r="H25" i="8"/>
  <c r="I26" i="8" s="1"/>
  <c r="I22" i="8"/>
  <c r="I21" i="8"/>
  <c r="G61" i="2" a="1"/>
  <c r="I43" i="8" l="1"/>
  <c r="I41" i="8"/>
  <c r="I42" i="8"/>
  <c r="I28" i="8"/>
  <c r="I30" i="8"/>
  <c r="I29" i="8"/>
  <c r="H33" i="8"/>
  <c r="I27" i="8"/>
  <c r="I40" i="8"/>
  <c r="I39" i="8"/>
  <c r="H60" i="10"/>
  <c r="H61" i="10"/>
  <c r="H62" i="10"/>
  <c r="H63" i="10"/>
  <c r="H64" i="10"/>
  <c r="H65" i="10"/>
  <c r="H66" i="10"/>
  <c r="H67" i="10"/>
  <c r="H59" i="10"/>
  <c r="D8" i="10" l="1"/>
  <c r="H95" i="8" l="1"/>
  <c r="H94" i="8"/>
  <c r="H93" i="8"/>
  <c r="H92" i="8"/>
  <c r="H91" i="8"/>
  <c r="H90" i="8"/>
  <c r="F23" i="10"/>
  <c r="D17" i="12"/>
  <c r="D18" i="12"/>
  <c r="D9" i="12"/>
  <c r="D15" i="12"/>
  <c r="D8" i="12"/>
  <c r="D7" i="12"/>
  <c r="D6" i="12"/>
  <c r="O74" i="8" l="1"/>
  <c r="D16" i="12"/>
  <c r="C13" i="5" l="1"/>
  <c r="E11" i="8"/>
  <c r="E12" i="8"/>
  <c r="G46" i="2" l="1"/>
  <c r="G45" i="2"/>
  <c r="L103" i="10" l="1"/>
  <c r="L104" i="10" s="1"/>
  <c r="AC113" i="11"/>
  <c r="AK113" i="11"/>
  <c r="AS113" i="11"/>
  <c r="U113" i="11"/>
  <c r="M113" i="11"/>
  <c r="AS114" i="11"/>
  <c r="AK114" i="11"/>
  <c r="AC114" i="11"/>
  <c r="U114" i="11"/>
  <c r="D109" i="11" l="1"/>
  <c r="D107" i="11"/>
  <c r="D106" i="11"/>
  <c r="D105" i="11"/>
  <c r="D104" i="11"/>
  <c r="D97" i="11"/>
  <c r="D91" i="11"/>
  <c r="D84" i="11"/>
  <c r="D78" i="11"/>
  <c r="D65" i="11"/>
  <c r="D59" i="11"/>
  <c r="D51" i="11"/>
  <c r="D47" i="11"/>
  <c r="D39" i="11"/>
  <c r="D36" i="11"/>
  <c r="D28" i="11"/>
  <c r="D27" i="11"/>
  <c r="D20" i="11"/>
  <c r="F10" i="11"/>
  <c r="F11" i="11"/>
  <c r="F9" i="11"/>
  <c r="C3" i="11"/>
  <c r="AS112" i="11"/>
  <c r="AK112" i="11"/>
  <c r="AC112" i="11"/>
  <c r="U112" i="11"/>
  <c r="M112" i="11"/>
  <c r="AS111" i="11"/>
  <c r="AK111" i="11"/>
  <c r="AC111" i="11"/>
  <c r="U111" i="11"/>
  <c r="M111" i="11"/>
  <c r="AS110" i="11"/>
  <c r="AK110" i="11"/>
  <c r="AC110" i="11"/>
  <c r="U110" i="11"/>
  <c r="M110" i="11"/>
  <c r="AS107" i="11"/>
  <c r="AK107" i="11"/>
  <c r="AC107" i="11"/>
  <c r="U107" i="11"/>
  <c r="M107" i="11"/>
  <c r="AS106" i="11"/>
  <c r="AK106" i="11"/>
  <c r="AC106" i="11"/>
  <c r="U106" i="11"/>
  <c r="M106" i="11"/>
  <c r="AS105" i="11"/>
  <c r="AK105" i="11"/>
  <c r="AC105" i="11"/>
  <c r="U105" i="11"/>
  <c r="M105" i="11"/>
  <c r="AS102" i="11"/>
  <c r="AK102" i="11"/>
  <c r="AC102" i="11"/>
  <c r="U102" i="11"/>
  <c r="M102" i="11"/>
  <c r="AS101" i="11"/>
  <c r="AK101" i="11"/>
  <c r="AC101" i="11"/>
  <c r="U101" i="11"/>
  <c r="M101" i="11"/>
  <c r="AS100" i="11"/>
  <c r="AK100" i="11"/>
  <c r="AC100" i="11"/>
  <c r="U100" i="11"/>
  <c r="M100" i="11"/>
  <c r="AS99" i="11"/>
  <c r="AK99" i="11"/>
  <c r="AC99" i="11"/>
  <c r="U99" i="11"/>
  <c r="M99" i="11"/>
  <c r="AS98" i="11"/>
  <c r="AK98" i="11"/>
  <c r="AC98" i="11"/>
  <c r="U98" i="11"/>
  <c r="M98" i="11"/>
  <c r="AS95" i="11"/>
  <c r="AK95" i="11"/>
  <c r="AC95" i="11"/>
  <c r="U95" i="11"/>
  <c r="M95" i="11"/>
  <c r="AS94" i="11"/>
  <c r="AK94" i="11"/>
  <c r="AC94" i="11"/>
  <c r="U94" i="11"/>
  <c r="M94" i="11"/>
  <c r="AS93" i="11"/>
  <c r="AK93" i="11"/>
  <c r="AC93" i="11"/>
  <c r="U93" i="11"/>
  <c r="M93" i="11"/>
  <c r="AS92" i="11"/>
  <c r="AK92" i="11"/>
  <c r="AC92" i="11"/>
  <c r="U92" i="11"/>
  <c r="M92" i="11"/>
  <c r="AS89" i="11"/>
  <c r="AK89" i="11"/>
  <c r="AC89" i="11"/>
  <c r="U89" i="11"/>
  <c r="M89" i="11"/>
  <c r="AS88" i="11"/>
  <c r="AK88" i="11"/>
  <c r="AC88" i="11"/>
  <c r="U88" i="11"/>
  <c r="M88" i="11"/>
  <c r="AS87" i="11"/>
  <c r="AK87" i="11"/>
  <c r="AC87" i="11"/>
  <c r="U87" i="11"/>
  <c r="M87" i="11"/>
  <c r="AS86" i="11"/>
  <c r="AK86" i="11"/>
  <c r="AC86" i="11"/>
  <c r="U86" i="11"/>
  <c r="M86" i="11"/>
  <c r="AS85" i="11"/>
  <c r="AK85" i="11"/>
  <c r="AC85" i="11"/>
  <c r="U85" i="11"/>
  <c r="M85" i="11"/>
  <c r="AS82" i="11"/>
  <c r="AK82" i="11"/>
  <c r="AC82" i="11"/>
  <c r="U82" i="11"/>
  <c r="M82" i="11"/>
  <c r="AS81" i="11"/>
  <c r="AK81" i="11"/>
  <c r="AC81" i="11"/>
  <c r="U81" i="11"/>
  <c r="M81" i="11"/>
  <c r="AS80" i="11"/>
  <c r="AK80" i="11"/>
  <c r="AC80" i="11"/>
  <c r="U80" i="11"/>
  <c r="M80" i="11"/>
  <c r="AS79" i="11"/>
  <c r="AK79" i="11"/>
  <c r="AC79" i="11"/>
  <c r="U79" i="11"/>
  <c r="M79" i="11"/>
  <c r="AS76" i="11"/>
  <c r="AK76" i="11"/>
  <c r="AC76" i="11"/>
  <c r="U76" i="11"/>
  <c r="M76" i="11"/>
  <c r="AS74" i="11"/>
  <c r="AK74" i="11"/>
  <c r="AC74" i="11"/>
  <c r="U74" i="11"/>
  <c r="M74" i="11"/>
  <c r="AS73" i="11"/>
  <c r="AK73" i="11"/>
  <c r="AC73" i="11"/>
  <c r="U73" i="11"/>
  <c r="M73" i="11"/>
  <c r="AS72" i="11"/>
  <c r="AK72" i="11"/>
  <c r="AC72" i="11"/>
  <c r="U72" i="11"/>
  <c r="M72" i="11"/>
  <c r="AS69" i="11"/>
  <c r="AK69" i="11"/>
  <c r="AC69" i="11"/>
  <c r="U69" i="11"/>
  <c r="M69" i="11"/>
  <c r="AS68" i="11"/>
  <c r="AK68" i="11"/>
  <c r="AC68" i="11"/>
  <c r="U68" i="11"/>
  <c r="M68" i="11"/>
  <c r="AS67" i="11"/>
  <c r="AK67" i="11"/>
  <c r="AC67" i="11"/>
  <c r="U67" i="11"/>
  <c r="M67" i="11"/>
  <c r="AS66" i="11"/>
  <c r="AK66" i="11"/>
  <c r="AC66" i="11"/>
  <c r="U66" i="11"/>
  <c r="M66" i="11"/>
  <c r="AS63" i="11"/>
  <c r="AK63" i="11"/>
  <c r="AC63" i="11"/>
  <c r="U63" i="11"/>
  <c r="M63" i="11"/>
  <c r="AS62" i="11"/>
  <c r="AK62" i="11"/>
  <c r="AC62" i="11"/>
  <c r="U62" i="11"/>
  <c r="M62" i="11"/>
  <c r="AS61" i="11"/>
  <c r="AK61" i="11"/>
  <c r="AC61" i="11"/>
  <c r="U61" i="11"/>
  <c r="M61" i="11"/>
  <c r="AS60" i="11"/>
  <c r="AK60" i="11"/>
  <c r="AC60" i="11"/>
  <c r="U60" i="11"/>
  <c r="M60" i="11"/>
  <c r="AS57" i="11"/>
  <c r="AK57" i="11"/>
  <c r="AC57" i="11"/>
  <c r="U57" i="11"/>
  <c r="M57" i="11"/>
  <c r="AS56" i="11"/>
  <c r="AK56" i="11"/>
  <c r="AC56" i="11"/>
  <c r="U56" i="11"/>
  <c r="M56" i="11"/>
  <c r="AS55" i="11"/>
  <c r="AK55" i="11"/>
  <c r="AC55" i="11"/>
  <c r="U55" i="11"/>
  <c r="M55" i="11"/>
  <c r="AS54" i="11"/>
  <c r="AK54" i="11"/>
  <c r="AC54" i="11"/>
  <c r="U54" i="11"/>
  <c r="M54" i="11"/>
  <c r="AS53" i="11"/>
  <c r="AK53" i="11"/>
  <c r="AC53" i="11"/>
  <c r="U53" i="11"/>
  <c r="M53" i="11"/>
  <c r="AS52" i="11"/>
  <c r="AK52" i="11"/>
  <c r="AC52" i="11"/>
  <c r="U52" i="11"/>
  <c r="M52" i="11"/>
  <c r="AS49" i="11"/>
  <c r="AK49" i="11"/>
  <c r="AC49" i="11"/>
  <c r="U49" i="11"/>
  <c r="M49" i="11"/>
  <c r="AS48" i="11"/>
  <c r="AK48" i="11"/>
  <c r="AC48" i="11"/>
  <c r="U48" i="11"/>
  <c r="M48" i="11"/>
  <c r="AS45" i="11"/>
  <c r="AK45" i="11"/>
  <c r="AC45" i="11"/>
  <c r="U45" i="11"/>
  <c r="M45" i="11"/>
  <c r="AS44" i="11"/>
  <c r="AK44" i="11"/>
  <c r="AC44" i="11"/>
  <c r="U44" i="11"/>
  <c r="M44" i="11"/>
  <c r="AS43" i="11"/>
  <c r="AK43" i="11"/>
  <c r="AC43" i="11"/>
  <c r="U43" i="11"/>
  <c r="M43" i="11"/>
  <c r="AS42" i="11"/>
  <c r="AK42" i="11"/>
  <c r="AC42" i="11"/>
  <c r="U42" i="11"/>
  <c r="M42" i="11"/>
  <c r="AS41" i="11"/>
  <c r="AK41" i="11"/>
  <c r="AC41" i="11"/>
  <c r="U41" i="11"/>
  <c r="M41" i="11"/>
  <c r="AS40" i="11"/>
  <c r="AK40" i="11"/>
  <c r="AC40" i="11"/>
  <c r="U40" i="11"/>
  <c r="M40" i="11"/>
  <c r="AS37" i="11"/>
  <c r="AK37" i="11"/>
  <c r="AC37" i="11"/>
  <c r="U37" i="11"/>
  <c r="M37" i="11"/>
  <c r="AS36" i="11"/>
  <c r="AK36" i="11"/>
  <c r="AC36" i="11"/>
  <c r="U36" i="11"/>
  <c r="M36" i="11"/>
  <c r="AS33" i="11"/>
  <c r="AK33" i="11"/>
  <c r="AC33" i="11"/>
  <c r="U33" i="11"/>
  <c r="M33" i="11"/>
  <c r="AS32" i="11"/>
  <c r="AK32" i="11"/>
  <c r="AC32" i="11"/>
  <c r="U32" i="11"/>
  <c r="M32" i="11"/>
  <c r="AS31" i="11"/>
  <c r="AK31" i="11"/>
  <c r="AC31" i="11"/>
  <c r="U31" i="11"/>
  <c r="M31" i="11"/>
  <c r="AS30" i="11"/>
  <c r="AK30" i="11"/>
  <c r="AC30" i="11"/>
  <c r="U30" i="11"/>
  <c r="M30" i="11"/>
  <c r="AS29" i="11"/>
  <c r="AK29" i="11"/>
  <c r="AC29" i="11"/>
  <c r="U29" i="11"/>
  <c r="M29" i="11"/>
  <c r="AS28" i="11"/>
  <c r="AK28" i="11"/>
  <c r="AC28" i="11"/>
  <c r="U28" i="11"/>
  <c r="M28" i="11"/>
  <c r="AN18" i="11"/>
  <c r="AF18" i="11"/>
  <c r="X18" i="11"/>
  <c r="P18" i="11"/>
  <c r="H18" i="11"/>
  <c r="H11" i="11"/>
  <c r="H81" i="8" l="1"/>
  <c r="E29" i="10" l="1"/>
  <c r="E28" i="10" s="1"/>
  <c r="E27" i="10" s="1"/>
  <c r="E26" i="10" s="1"/>
  <c r="H73" i="8"/>
  <c r="H75" i="8" s="1"/>
  <c r="D254" i="10" l="1"/>
  <c r="E253" i="10"/>
  <c r="D233" i="10"/>
  <c r="D234" i="10" s="1"/>
  <c r="D10" i="8" s="1"/>
  <c r="E9" i="8"/>
  <c r="E226" i="10"/>
  <c r="E227" i="10"/>
  <c r="E228" i="10"/>
  <c r="E229" i="10"/>
  <c r="E225" i="10"/>
  <c r="E222" i="10"/>
  <c r="E211" i="10"/>
  <c r="D212" i="10" s="1"/>
  <c r="D264" i="10" l="1"/>
  <c r="D22" i="12"/>
  <c r="D8" i="8"/>
  <c r="D223" i="10"/>
  <c r="D9" i="8" s="1"/>
  <c r="D12" i="8"/>
  <c r="D265" i="10" l="1"/>
  <c r="D13" i="8" s="1"/>
  <c r="E174" i="10"/>
  <c r="N178" i="10" s="1"/>
  <c r="O178" i="10" s="1"/>
  <c r="P178" i="10" s="1"/>
  <c r="E173" i="10"/>
  <c r="K178" i="10" s="1"/>
  <c r="L178" i="10" s="1"/>
  <c r="M178" i="10" l="1"/>
  <c r="E204" i="10" l="1"/>
  <c r="K75" i="9" s="1"/>
  <c r="E203" i="10"/>
  <c r="K74" i="9" s="1"/>
  <c r="E190" i="10"/>
  <c r="E198" i="10" s="1"/>
  <c r="K72" i="9"/>
  <c r="O180" i="10"/>
  <c r="O181" i="10"/>
  <c r="P181" i="10" s="1"/>
  <c r="O179" i="10"/>
  <c r="F181" i="10"/>
  <c r="F180" i="10"/>
  <c r="F179" i="10"/>
  <c r="N179" i="10"/>
  <c r="D160" i="10"/>
  <c r="D161" i="10" s="1"/>
  <c r="I132" i="8" s="1"/>
  <c r="D148" i="10"/>
  <c r="D149" i="10" s="1"/>
  <c r="I130" i="8" s="1"/>
  <c r="D132" i="10"/>
  <c r="D103" i="10"/>
  <c r="N180" i="10" l="1"/>
  <c r="P179" i="10"/>
  <c r="N181" i="10"/>
  <c r="P180" i="10"/>
  <c r="D133" i="10"/>
  <c r="I61" i="8" s="1"/>
  <c r="J133" i="10"/>
  <c r="D104" i="10"/>
  <c r="I52" i="8" s="1"/>
  <c r="D117" i="10"/>
  <c r="E199" i="10"/>
  <c r="K70" i="9" s="1"/>
  <c r="K71" i="9"/>
  <c r="K73" i="9"/>
  <c r="E187" i="10"/>
  <c r="K179" i="10" l="1"/>
  <c r="L179" i="10"/>
  <c r="L181" i="10"/>
  <c r="L180" i="10"/>
  <c r="M181" i="10" l="1"/>
  <c r="M180" i="10"/>
  <c r="K181" i="10"/>
  <c r="M179" i="10"/>
  <c r="K180" i="10"/>
  <c r="E205" i="10" l="1"/>
  <c r="K76" i="9" s="1"/>
  <c r="K69" i="9" l="1"/>
  <c r="H24" i="9"/>
  <c r="H19" i="9"/>
  <c r="C21" i="5"/>
  <c r="C20" i="5"/>
  <c r="C19" i="5"/>
  <c r="C15" i="5"/>
  <c r="C14" i="5"/>
  <c r="I135" i="8"/>
  <c r="I131" i="8"/>
  <c r="J137" i="8"/>
  <c r="J136" i="8"/>
  <c r="J135" i="8"/>
  <c r="J134" i="8"/>
  <c r="J133" i="8"/>
  <c r="I136" i="8" l="1"/>
  <c r="I137" i="8"/>
  <c r="I134" i="8"/>
  <c r="C17" i="5" l="1"/>
  <c r="C11" i="5"/>
  <c r="E13" i="8"/>
  <c r="E242" i="10"/>
  <c r="D243" i="10" s="1"/>
  <c r="E10" i="8"/>
  <c r="E8" i="8"/>
  <c r="D11" i="8" l="1"/>
  <c r="G107" i="2"/>
  <c r="K64" i="8" l="1"/>
  <c r="K136" i="8"/>
  <c r="K25" i="8"/>
  <c r="K61" i="8"/>
  <c r="K134" i="8"/>
  <c r="K39" i="8"/>
  <c r="K65" i="8"/>
  <c r="K119" i="8"/>
  <c r="D23" i="12"/>
  <c r="K62" i="8"/>
  <c r="K137" i="8"/>
  <c r="K38" i="8"/>
  <c r="K47" i="8"/>
  <c r="K130" i="8"/>
  <c r="K54" i="8"/>
  <c r="K28" i="8"/>
  <c r="K124" i="8"/>
  <c r="K52" i="8"/>
  <c r="K20" i="8"/>
  <c r="O20" i="8" s="1"/>
  <c r="K116" i="8"/>
  <c r="K56" i="8"/>
  <c r="K126" i="8"/>
  <c r="K29" i="8"/>
  <c r="K58" i="8"/>
  <c r="K135" i="8"/>
  <c r="K21" i="8"/>
  <c r="M21" i="8" s="1"/>
  <c r="F23" i="11" s="1"/>
  <c r="K53" i="8"/>
  <c r="K133" i="8"/>
  <c r="K43" i="8"/>
  <c r="K55" i="8"/>
  <c r="K131" i="8"/>
  <c r="K42" i="8"/>
  <c r="K57" i="8"/>
  <c r="K118" i="8"/>
  <c r="K40" i="8"/>
  <c r="K117" i="8"/>
  <c r="K121" i="8"/>
  <c r="K30" i="8"/>
  <c r="K120" i="8"/>
  <c r="K132" i="8"/>
  <c r="K22" i="8"/>
  <c r="O22" i="8" s="1"/>
  <c r="K34" i="8"/>
  <c r="K46" i="8"/>
  <c r="K33" i="8"/>
  <c r="K63" i="8"/>
  <c r="K41" i="8"/>
  <c r="K27" i="8"/>
  <c r="K26" i="8"/>
  <c r="H86" i="8"/>
  <c r="H125" i="8"/>
  <c r="H116" i="8"/>
  <c r="O116" i="8" s="1"/>
  <c r="E47" i="2"/>
  <c r="G47" i="2" s="1"/>
  <c r="H110" i="8"/>
  <c r="H103" i="8"/>
  <c r="H104" i="8" s="1"/>
  <c r="H102" i="8"/>
  <c r="H96" i="8"/>
  <c r="H80" i="8"/>
  <c r="H62" i="8"/>
  <c r="H53" i="8"/>
  <c r="O53" i="8" s="1"/>
  <c r="H61" i="8"/>
  <c r="H52" i="8"/>
  <c r="O21" i="8" l="1"/>
  <c r="P23" i="8" s="1"/>
  <c r="D12" i="5" s="1"/>
  <c r="M22" i="8"/>
  <c r="F24" i="11" s="1"/>
  <c r="X24" i="11" s="1"/>
  <c r="AA24" i="11" s="1"/>
  <c r="AB24" i="11" s="1"/>
  <c r="G21" i="2"/>
  <c r="H130" i="8"/>
  <c r="M20" i="8"/>
  <c r="F22" i="11" s="1"/>
  <c r="AF23" i="11"/>
  <c r="AI23" i="11" s="1"/>
  <c r="AJ23" i="11" s="1"/>
  <c r="AN23" i="11"/>
  <c r="AQ23" i="11" s="1"/>
  <c r="AR23" i="11" s="1"/>
  <c r="H23" i="11"/>
  <c r="K23" i="11" s="1"/>
  <c r="L23" i="11" s="1"/>
  <c r="X23" i="11"/>
  <c r="AA23" i="11" s="1"/>
  <c r="AB23" i="11" s="1"/>
  <c r="P23" i="11"/>
  <c r="S23" i="11" s="1"/>
  <c r="T23" i="11" s="1"/>
  <c r="O61" i="8"/>
  <c r="D317" i="10"/>
  <c r="G317" i="10" s="1"/>
  <c r="O62" i="8"/>
  <c r="D19" i="12"/>
  <c r="D20" i="12" s="1"/>
  <c r="H117" i="8"/>
  <c r="O117" i="8" s="1"/>
  <c r="O52" i="8"/>
  <c r="H46" i="8"/>
  <c r="H136" i="8"/>
  <c r="H135" i="8"/>
  <c r="H134" i="8"/>
  <c r="H137" i="8"/>
  <c r="M133" i="8"/>
  <c r="O133" i="8"/>
  <c r="I113" i="8"/>
  <c r="I112" i="8"/>
  <c r="I111" i="8"/>
  <c r="I107" i="8"/>
  <c r="I106" i="8"/>
  <c r="I105" i="8"/>
  <c r="I99" i="8"/>
  <c r="I98" i="8"/>
  <c r="I97" i="8"/>
  <c r="I83" i="8"/>
  <c r="I82" i="8"/>
  <c r="H24" i="11" l="1"/>
  <c r="K24" i="11" s="1"/>
  <c r="L24" i="11" s="1"/>
  <c r="N23" i="8"/>
  <c r="E12" i="5" s="1"/>
  <c r="AN24" i="11"/>
  <c r="AQ24" i="11" s="1"/>
  <c r="AR24" i="11" s="1"/>
  <c r="P24" i="11"/>
  <c r="S24" i="11" s="1"/>
  <c r="T24" i="11" s="1"/>
  <c r="AF24" i="11"/>
  <c r="AI24" i="11" s="1"/>
  <c r="AJ24" i="11" s="1"/>
  <c r="D14" i="12"/>
  <c r="D21" i="12" s="1"/>
  <c r="H131" i="8"/>
  <c r="H132" i="8"/>
  <c r="F21" i="11"/>
  <c r="AF22" i="11"/>
  <c r="P22" i="11"/>
  <c r="H22" i="11"/>
  <c r="X22" i="11"/>
  <c r="AN22" i="11"/>
  <c r="H317" i="10"/>
  <c r="F317" i="10"/>
  <c r="E317" i="10"/>
  <c r="I77" i="8"/>
  <c r="O77" i="8" s="1"/>
  <c r="I76" i="8"/>
  <c r="M136" i="8"/>
  <c r="O136" i="8"/>
  <c r="O137" i="8"/>
  <c r="M137" i="8"/>
  <c r="O134" i="8"/>
  <c r="M134" i="8"/>
  <c r="O135" i="8"/>
  <c r="M135" i="8"/>
  <c r="J131" i="8"/>
  <c r="J121" i="8"/>
  <c r="J120" i="8"/>
  <c r="J119" i="8"/>
  <c r="J118" i="8"/>
  <c r="J117" i="8"/>
  <c r="M117" i="8" s="1"/>
  <c r="J116" i="8"/>
  <c r="M116" i="8" s="1"/>
  <c r="J113" i="8"/>
  <c r="J112" i="8"/>
  <c r="J111" i="8"/>
  <c r="J110" i="8"/>
  <c r="J107" i="8"/>
  <c r="J105" i="8"/>
  <c r="J103" i="8"/>
  <c r="J102" i="8"/>
  <c r="J99" i="8"/>
  <c r="J96" i="8"/>
  <c r="J95" i="8"/>
  <c r="J94" i="8"/>
  <c r="J93" i="8"/>
  <c r="J92" i="8"/>
  <c r="J91" i="8"/>
  <c r="J90" i="8"/>
  <c r="J83" i="8"/>
  <c r="J81" i="8"/>
  <c r="J80" i="8"/>
  <c r="J77" i="8"/>
  <c r="J74" i="8"/>
  <c r="J73" i="8"/>
  <c r="J65" i="8"/>
  <c r="J58" i="8"/>
  <c r="J57" i="8"/>
  <c r="J46" i="8"/>
  <c r="J33" i="8"/>
  <c r="J56" i="8"/>
  <c r="J43" i="8"/>
  <c r="J30" i="8"/>
  <c r="J42" i="8"/>
  <c r="J29" i="8"/>
  <c r="J132" i="8"/>
  <c r="J106" i="8"/>
  <c r="J98" i="8"/>
  <c r="J75" i="8"/>
  <c r="J64" i="8"/>
  <c r="J55" i="8"/>
  <c r="J41" i="8"/>
  <c r="J28" i="8"/>
  <c r="J62" i="8"/>
  <c r="M62" i="8" s="1"/>
  <c r="J61" i="8"/>
  <c r="M61" i="8" s="1"/>
  <c r="J53" i="8"/>
  <c r="M53" i="8" s="1"/>
  <c r="J52" i="8"/>
  <c r="M52" i="8" s="1"/>
  <c r="J40" i="8"/>
  <c r="J27" i="8"/>
  <c r="J130" i="8"/>
  <c r="J97" i="8"/>
  <c r="J76" i="8"/>
  <c r="J82" i="8"/>
  <c r="J63" i="8"/>
  <c r="J54" i="8"/>
  <c r="J47" i="8"/>
  <c r="J39" i="8"/>
  <c r="J34" i="8"/>
  <c r="J26" i="8"/>
  <c r="J38" i="8"/>
  <c r="J25" i="8"/>
  <c r="O112" i="8"/>
  <c r="O110" i="8"/>
  <c r="O107" i="8"/>
  <c r="O106" i="8"/>
  <c r="O105" i="8"/>
  <c r="M104" i="8"/>
  <c r="O97" i="8"/>
  <c r="O96" i="8"/>
  <c r="O94" i="8"/>
  <c r="O92" i="8"/>
  <c r="O90" i="8"/>
  <c r="O83" i="8"/>
  <c r="O82" i="8"/>
  <c r="O81" i="8"/>
  <c r="O80" i="8"/>
  <c r="O75" i="8"/>
  <c r="O73" i="8"/>
  <c r="O93" i="8"/>
  <c r="AF21" i="11" l="1"/>
  <c r="AI22" i="11"/>
  <c r="AI21" i="11" s="1"/>
  <c r="AQ22" i="11"/>
  <c r="AQ21" i="11" s="1"/>
  <c r="AN21" i="11"/>
  <c r="X21" i="11"/>
  <c r="AA22" i="11"/>
  <c r="AA21" i="11" s="1"/>
  <c r="H21" i="11"/>
  <c r="K22" i="11"/>
  <c r="S22" i="11"/>
  <c r="P21" i="11"/>
  <c r="F114" i="11"/>
  <c r="AF114" i="11" s="1"/>
  <c r="AI114" i="11" s="1"/>
  <c r="AJ114" i="11" s="1"/>
  <c r="H121" i="8"/>
  <c r="H120" i="8"/>
  <c r="H119" i="8"/>
  <c r="H118" i="8"/>
  <c r="H30" i="8"/>
  <c r="H28" i="8"/>
  <c r="H27" i="8"/>
  <c r="H26" i="8"/>
  <c r="H29" i="8"/>
  <c r="H55" i="8"/>
  <c r="H56" i="8"/>
  <c r="H57" i="8"/>
  <c r="H58" i="8"/>
  <c r="H54" i="8"/>
  <c r="H64" i="8"/>
  <c r="H65" i="8"/>
  <c r="H63" i="8"/>
  <c r="H40" i="8"/>
  <c r="H41" i="8"/>
  <c r="H42" i="8"/>
  <c r="H43" i="8"/>
  <c r="H39" i="8"/>
  <c r="F52" i="11"/>
  <c r="X52" i="11" s="1"/>
  <c r="AA52" i="11" s="1"/>
  <c r="AB52" i="11" s="1"/>
  <c r="F60" i="11"/>
  <c r="X60" i="11" s="1"/>
  <c r="F86" i="11"/>
  <c r="H86" i="11" s="1"/>
  <c r="K86" i="11" s="1"/>
  <c r="L86" i="11" s="1"/>
  <c r="F98" i="11"/>
  <c r="F113" i="11"/>
  <c r="AF113" i="11" s="1"/>
  <c r="M99" i="8"/>
  <c r="F82" i="11" s="1"/>
  <c r="M83" i="8"/>
  <c r="F74" i="11" s="1"/>
  <c r="M82" i="8"/>
  <c r="F73" i="11" s="1"/>
  <c r="M106" i="8"/>
  <c r="F88" i="11" s="1"/>
  <c r="M103" i="8"/>
  <c r="M105" i="8"/>
  <c r="F87" i="11" s="1"/>
  <c r="M94" i="8"/>
  <c r="M73" i="8"/>
  <c r="M91" i="8"/>
  <c r="M96" i="8"/>
  <c r="M97" i="8"/>
  <c r="F80" i="11" s="1"/>
  <c r="M113" i="8"/>
  <c r="F95" i="11" s="1"/>
  <c r="M107" i="8"/>
  <c r="F89" i="11" s="1"/>
  <c r="M102" i="8"/>
  <c r="M95" i="8"/>
  <c r="M90" i="8"/>
  <c r="M74" i="8"/>
  <c r="M81" i="8"/>
  <c r="M98" i="8"/>
  <c r="F81" i="11" s="1"/>
  <c r="M75" i="8"/>
  <c r="F67" i="11" s="1"/>
  <c r="M111" i="8"/>
  <c r="F93" i="11" s="1"/>
  <c r="M76" i="8"/>
  <c r="F68" i="11" s="1"/>
  <c r="O98" i="8"/>
  <c r="P84" i="8"/>
  <c r="O99" i="8"/>
  <c r="O111" i="8"/>
  <c r="O76" i="8"/>
  <c r="P78" i="8" s="1"/>
  <c r="O91" i="8"/>
  <c r="M110" i="8"/>
  <c r="F92" i="11" s="1"/>
  <c r="O95" i="8"/>
  <c r="O113" i="8"/>
  <c r="M77" i="8"/>
  <c r="M92" i="8"/>
  <c r="O102" i="8"/>
  <c r="M112" i="8"/>
  <c r="F94" i="11" s="1"/>
  <c r="M80" i="8"/>
  <c r="M93" i="8"/>
  <c r="O103" i="8"/>
  <c r="F66" i="11" l="1"/>
  <c r="H66" i="11" s="1"/>
  <c r="AJ22" i="11"/>
  <c r="AJ21" i="11" s="1"/>
  <c r="AB22" i="11"/>
  <c r="AB21" i="11" s="1"/>
  <c r="AR22" i="11"/>
  <c r="AR21" i="11" s="1"/>
  <c r="L22" i="11"/>
  <c r="L21" i="11" s="1"/>
  <c r="K21" i="11"/>
  <c r="T22" i="11"/>
  <c r="T21" i="11" s="1"/>
  <c r="S21" i="11"/>
  <c r="AN114" i="11"/>
  <c r="AQ114" i="11" s="1"/>
  <c r="AR114" i="11" s="1"/>
  <c r="P114" i="11"/>
  <c r="S114" i="11" s="1"/>
  <c r="T114" i="11" s="1"/>
  <c r="X114" i="11"/>
  <c r="AA114" i="11" s="1"/>
  <c r="AB114" i="11" s="1"/>
  <c r="H114" i="11"/>
  <c r="K114" i="11" s="1"/>
  <c r="L114" i="11" s="1"/>
  <c r="AF60" i="11"/>
  <c r="AI60" i="11" s="1"/>
  <c r="AJ60" i="11" s="1"/>
  <c r="P60" i="11"/>
  <c r="S60" i="11" s="1"/>
  <c r="T60" i="11" s="1"/>
  <c r="AN60" i="11"/>
  <c r="AQ60" i="11" s="1"/>
  <c r="AR60" i="11" s="1"/>
  <c r="H60" i="11"/>
  <c r="K60" i="11" s="1"/>
  <c r="L60" i="11" s="1"/>
  <c r="AF52" i="11"/>
  <c r="AI52" i="11" s="1"/>
  <c r="AJ52" i="11" s="1"/>
  <c r="AN52" i="11"/>
  <c r="AQ52" i="11" s="1"/>
  <c r="AR52" i="11" s="1"/>
  <c r="P52" i="11"/>
  <c r="S52" i="11" s="1"/>
  <c r="T52" i="11" s="1"/>
  <c r="H52" i="11"/>
  <c r="K52" i="11" s="1"/>
  <c r="L52" i="11" s="1"/>
  <c r="F69" i="11"/>
  <c r="AN69" i="11" s="1"/>
  <c r="AQ69" i="11" s="1"/>
  <c r="AR69" i="11" s="1"/>
  <c r="F72" i="11"/>
  <c r="AF72" i="11" s="1"/>
  <c r="P86" i="11"/>
  <c r="S86" i="11" s="1"/>
  <c r="T86" i="11" s="1"/>
  <c r="N78" i="8"/>
  <c r="AA60" i="11"/>
  <c r="AB60" i="11" s="1"/>
  <c r="P98" i="11"/>
  <c r="H98" i="11"/>
  <c r="K98" i="11" s="1"/>
  <c r="L98" i="11" s="1"/>
  <c r="AF98" i="11"/>
  <c r="AN98" i="11"/>
  <c r="AQ98" i="11" s="1"/>
  <c r="AR98" i="11" s="1"/>
  <c r="X98" i="11"/>
  <c r="AA98" i="11" s="1"/>
  <c r="AB98" i="11" s="1"/>
  <c r="AN86" i="11"/>
  <c r="AQ86" i="11" s="1"/>
  <c r="AR86" i="11" s="1"/>
  <c r="X86" i="11"/>
  <c r="AA86" i="11" s="1"/>
  <c r="AB86" i="11" s="1"/>
  <c r="AF86" i="11"/>
  <c r="AI86" i="11" s="1"/>
  <c r="AJ86" i="11" s="1"/>
  <c r="O64" i="8"/>
  <c r="M64" i="8"/>
  <c r="F62" i="11" s="1"/>
  <c r="M118" i="8"/>
  <c r="F99" i="11" s="1"/>
  <c r="O118" i="8"/>
  <c r="O120" i="8"/>
  <c r="M120" i="8"/>
  <c r="F101" i="11" s="1"/>
  <c r="O65" i="8"/>
  <c r="M65" i="8"/>
  <c r="F63" i="11" s="1"/>
  <c r="O63" i="8"/>
  <c r="M63" i="8"/>
  <c r="O119" i="8"/>
  <c r="M119" i="8"/>
  <c r="F100" i="11" s="1"/>
  <c r="O121" i="8"/>
  <c r="M121" i="8"/>
  <c r="F102" i="11" s="1"/>
  <c r="P113" i="11"/>
  <c r="S113" i="11" s="1"/>
  <c r="T113" i="11" s="1"/>
  <c r="X113" i="11"/>
  <c r="AA113" i="11" s="1"/>
  <c r="AB113" i="11" s="1"/>
  <c r="H113" i="11"/>
  <c r="K113" i="11" s="1"/>
  <c r="L113" i="11" s="1"/>
  <c r="AN113" i="11"/>
  <c r="AQ113" i="11" s="1"/>
  <c r="AR113" i="11" s="1"/>
  <c r="M54" i="8"/>
  <c r="O54" i="8"/>
  <c r="M55" i="8"/>
  <c r="F54" i="11" s="1"/>
  <c r="O55" i="8"/>
  <c r="M58" i="8"/>
  <c r="O58" i="8"/>
  <c r="M57" i="8"/>
  <c r="O57" i="8"/>
  <c r="O56" i="8"/>
  <c r="M56" i="8"/>
  <c r="F85" i="11"/>
  <c r="H85" i="11" s="1"/>
  <c r="AI113" i="11"/>
  <c r="AJ113" i="11" s="1"/>
  <c r="AF95" i="11"/>
  <c r="H95" i="11"/>
  <c r="K95" i="11" s="1"/>
  <c r="L95" i="11" s="1"/>
  <c r="X95" i="11"/>
  <c r="AA95" i="11" s="1"/>
  <c r="AB95" i="11" s="1"/>
  <c r="AN95" i="11"/>
  <c r="AQ95" i="11" s="1"/>
  <c r="AR95" i="11" s="1"/>
  <c r="P95" i="11"/>
  <c r="S95" i="11" s="1"/>
  <c r="T95" i="11" s="1"/>
  <c r="AF94" i="11"/>
  <c r="AN94" i="11"/>
  <c r="AQ94" i="11" s="1"/>
  <c r="AR94" i="11" s="1"/>
  <c r="P94" i="11"/>
  <c r="S94" i="11" s="1"/>
  <c r="T94" i="11" s="1"/>
  <c r="H94" i="11"/>
  <c r="K94" i="11" s="1"/>
  <c r="L94" i="11" s="1"/>
  <c r="X94" i="11"/>
  <c r="AA94" i="11" s="1"/>
  <c r="AB94" i="11" s="1"/>
  <c r="P92" i="11"/>
  <c r="AF92" i="11"/>
  <c r="F91" i="11"/>
  <c r="AN92" i="11"/>
  <c r="X92" i="11"/>
  <c r="H92" i="11"/>
  <c r="X93" i="11"/>
  <c r="AA93" i="11" s="1"/>
  <c r="AB93" i="11" s="1"/>
  <c r="H93" i="11"/>
  <c r="K93" i="11" s="1"/>
  <c r="L93" i="11" s="1"/>
  <c r="AN93" i="11"/>
  <c r="AQ93" i="11" s="1"/>
  <c r="AR93" i="11" s="1"/>
  <c r="AF93" i="11"/>
  <c r="AI93" i="11" s="1"/>
  <c r="AJ93" i="11" s="1"/>
  <c r="P93" i="11"/>
  <c r="S93" i="11" s="1"/>
  <c r="T93" i="11" s="1"/>
  <c r="H89" i="11"/>
  <c r="K89" i="11" s="1"/>
  <c r="L89" i="11" s="1"/>
  <c r="P89" i="11"/>
  <c r="S89" i="11" s="1"/>
  <c r="T89" i="11" s="1"/>
  <c r="X89" i="11"/>
  <c r="AA89" i="11" s="1"/>
  <c r="AB89" i="11" s="1"/>
  <c r="AN89" i="11"/>
  <c r="AQ89" i="11" s="1"/>
  <c r="AR89" i="11" s="1"/>
  <c r="AF89" i="11"/>
  <c r="AI89" i="11" s="1"/>
  <c r="AJ89" i="11" s="1"/>
  <c r="AN88" i="11"/>
  <c r="AQ88" i="11" s="1"/>
  <c r="AR88" i="11" s="1"/>
  <c r="AF88" i="11"/>
  <c r="AI88" i="11" s="1"/>
  <c r="AJ88" i="11" s="1"/>
  <c r="P88" i="11"/>
  <c r="S88" i="11" s="1"/>
  <c r="T88" i="11" s="1"/>
  <c r="H88" i="11"/>
  <c r="K88" i="11" s="1"/>
  <c r="L88" i="11" s="1"/>
  <c r="X88" i="11"/>
  <c r="AA88" i="11" s="1"/>
  <c r="AB88" i="11" s="1"/>
  <c r="H87" i="11"/>
  <c r="P87" i="11"/>
  <c r="S87" i="11" s="1"/>
  <c r="T87" i="11" s="1"/>
  <c r="X87" i="11"/>
  <c r="AN87" i="11"/>
  <c r="AQ87" i="11" s="1"/>
  <c r="AR87" i="11" s="1"/>
  <c r="AF87" i="11"/>
  <c r="AI87" i="11" s="1"/>
  <c r="AJ87" i="11" s="1"/>
  <c r="P73" i="11"/>
  <c r="AF73" i="11"/>
  <c r="X73" i="11"/>
  <c r="H73" i="11"/>
  <c r="K73" i="11" s="1"/>
  <c r="L73" i="11" s="1"/>
  <c r="AN73" i="11"/>
  <c r="AQ73" i="11" s="1"/>
  <c r="AR73" i="11" s="1"/>
  <c r="X74" i="11"/>
  <c r="AA74" i="11" s="1"/>
  <c r="AB74" i="11" s="1"/>
  <c r="AF74" i="11"/>
  <c r="P74" i="11"/>
  <c r="S74" i="11" s="1"/>
  <c r="T74" i="11" s="1"/>
  <c r="H74" i="11"/>
  <c r="K74" i="11" s="1"/>
  <c r="L74" i="11" s="1"/>
  <c r="AN74" i="11"/>
  <c r="AQ74" i="11" s="1"/>
  <c r="AR74" i="11" s="1"/>
  <c r="AF67" i="11"/>
  <c r="AI67" i="11" s="1"/>
  <c r="AJ67" i="11" s="1"/>
  <c r="AN67" i="11"/>
  <c r="AQ67" i="11" s="1"/>
  <c r="AR67" i="11" s="1"/>
  <c r="X67" i="11"/>
  <c r="AA67" i="11" s="1"/>
  <c r="AB67" i="11" s="1"/>
  <c r="H67" i="11"/>
  <c r="P67" i="11"/>
  <c r="S67" i="11" s="1"/>
  <c r="T67" i="11" s="1"/>
  <c r="X68" i="11"/>
  <c r="AA68" i="11" s="1"/>
  <c r="AB68" i="11" s="1"/>
  <c r="H68" i="11"/>
  <c r="K68" i="11" s="1"/>
  <c r="L68" i="11" s="1"/>
  <c r="P68" i="11"/>
  <c r="S68" i="11" s="1"/>
  <c r="T68" i="11" s="1"/>
  <c r="AF68" i="11"/>
  <c r="AI68" i="11" s="1"/>
  <c r="AJ68" i="11" s="1"/>
  <c r="AN68" i="11"/>
  <c r="AQ68" i="11" s="1"/>
  <c r="AR68" i="11" s="1"/>
  <c r="P81" i="11"/>
  <c r="S81" i="11" s="1"/>
  <c r="T81" i="11" s="1"/>
  <c r="AF81" i="11"/>
  <c r="AI81" i="11" s="1"/>
  <c r="AJ81" i="11" s="1"/>
  <c r="X81" i="11"/>
  <c r="AA81" i="11" s="1"/>
  <c r="AB81" i="11" s="1"/>
  <c r="H81" i="11"/>
  <c r="K81" i="11" s="1"/>
  <c r="L81" i="11" s="1"/>
  <c r="AN81" i="11"/>
  <c r="AQ81" i="11" s="1"/>
  <c r="AR81" i="11" s="1"/>
  <c r="F79" i="11"/>
  <c r="AN82" i="11"/>
  <c r="P82" i="11"/>
  <c r="S82" i="11" s="1"/>
  <c r="T82" i="11" s="1"/>
  <c r="AF82" i="11"/>
  <c r="AI82" i="11" s="1"/>
  <c r="AJ82" i="11" s="1"/>
  <c r="X82" i="11"/>
  <c r="AA82" i="11" s="1"/>
  <c r="AB82" i="11" s="1"/>
  <c r="H82" i="11"/>
  <c r="K82" i="11" s="1"/>
  <c r="L82" i="11" s="1"/>
  <c r="X80" i="11"/>
  <c r="AA80" i="11" s="1"/>
  <c r="AB80" i="11" s="1"/>
  <c r="AF80" i="11"/>
  <c r="AI80" i="11" s="1"/>
  <c r="AJ80" i="11" s="1"/>
  <c r="P80" i="11"/>
  <c r="S80" i="11" s="1"/>
  <c r="T80" i="11" s="1"/>
  <c r="AN80" i="11"/>
  <c r="AQ80" i="11" s="1"/>
  <c r="AR80" i="11" s="1"/>
  <c r="H80" i="11"/>
  <c r="K80" i="11" s="1"/>
  <c r="L80" i="11" s="1"/>
  <c r="P114" i="8"/>
  <c r="P100" i="8"/>
  <c r="N108" i="8"/>
  <c r="N84" i="8"/>
  <c r="N114" i="8"/>
  <c r="P108" i="8"/>
  <c r="N100" i="8"/>
  <c r="O86" i="8"/>
  <c r="P87" i="8" s="1"/>
  <c r="I86" i="8" l="1"/>
  <c r="M86" i="8" s="1"/>
  <c r="E28" i="5" s="1"/>
  <c r="E32" i="5"/>
  <c r="D32" i="5"/>
  <c r="AN72" i="11"/>
  <c r="AQ72" i="11" s="1"/>
  <c r="AQ71" i="11" s="1"/>
  <c r="P69" i="11"/>
  <c r="S69" i="11" s="1"/>
  <c r="T69" i="11" s="1"/>
  <c r="H72" i="11"/>
  <c r="K72" i="11" s="1"/>
  <c r="K71" i="11" s="1"/>
  <c r="F71" i="11"/>
  <c r="P72" i="11"/>
  <c r="P71" i="11" s="1"/>
  <c r="X72" i="11"/>
  <c r="X71" i="11" s="1"/>
  <c r="D28" i="5"/>
  <c r="AF69" i="11"/>
  <c r="AI69" i="11" s="1"/>
  <c r="AJ69" i="11" s="1"/>
  <c r="H69" i="11"/>
  <c r="H65" i="11" s="1"/>
  <c r="X69" i="11"/>
  <c r="AA69" i="11" s="1"/>
  <c r="AB69" i="11" s="1"/>
  <c r="P122" i="8"/>
  <c r="D19" i="5" s="1"/>
  <c r="P66" i="8"/>
  <c r="D15" i="5" s="1"/>
  <c r="AI98" i="11"/>
  <c r="AJ98" i="11" s="1"/>
  <c r="S98" i="11"/>
  <c r="T98" i="11" s="1"/>
  <c r="AF102" i="11"/>
  <c r="AI102" i="11" s="1"/>
  <c r="AJ102" i="11" s="1"/>
  <c r="X102" i="11"/>
  <c r="AA102" i="11" s="1"/>
  <c r="AB102" i="11" s="1"/>
  <c r="AN102" i="11"/>
  <c r="AQ102" i="11" s="1"/>
  <c r="AR102" i="11" s="1"/>
  <c r="P102" i="11"/>
  <c r="S102" i="11" s="1"/>
  <c r="T102" i="11" s="1"/>
  <c r="H102" i="11"/>
  <c r="K102" i="11" s="1"/>
  <c r="L102" i="11" s="1"/>
  <c r="AN100" i="11"/>
  <c r="AQ100" i="11" s="1"/>
  <c r="AR100" i="11" s="1"/>
  <c r="P100" i="11"/>
  <c r="S100" i="11" s="1"/>
  <c r="T100" i="11" s="1"/>
  <c r="AF100" i="11"/>
  <c r="AI100" i="11" s="1"/>
  <c r="AJ100" i="11" s="1"/>
  <c r="H100" i="11"/>
  <c r="K100" i="11" s="1"/>
  <c r="L100" i="11" s="1"/>
  <c r="X100" i="11"/>
  <c r="AA100" i="11" s="1"/>
  <c r="AB100" i="11" s="1"/>
  <c r="X101" i="11"/>
  <c r="AA101" i="11" s="1"/>
  <c r="AB101" i="11" s="1"/>
  <c r="P101" i="11"/>
  <c r="S101" i="11" s="1"/>
  <c r="T101" i="11" s="1"/>
  <c r="H101" i="11"/>
  <c r="K101" i="11" s="1"/>
  <c r="L101" i="11" s="1"/>
  <c r="AF101" i="11"/>
  <c r="AI101" i="11" s="1"/>
  <c r="AJ101" i="11" s="1"/>
  <c r="AN101" i="11"/>
  <c r="AQ101" i="11" s="1"/>
  <c r="AR101" i="11" s="1"/>
  <c r="F61" i="11"/>
  <c r="N66" i="8"/>
  <c r="E15" i="5" s="1"/>
  <c r="F56" i="11"/>
  <c r="AF63" i="11"/>
  <c r="AI63" i="11" s="1"/>
  <c r="AJ63" i="11" s="1"/>
  <c r="P63" i="11"/>
  <c r="S63" i="11" s="1"/>
  <c r="T63" i="11" s="1"/>
  <c r="X63" i="11"/>
  <c r="AA63" i="11" s="1"/>
  <c r="AB63" i="11" s="1"/>
  <c r="AN63" i="11"/>
  <c r="AQ63" i="11" s="1"/>
  <c r="AR63" i="11" s="1"/>
  <c r="H63" i="11"/>
  <c r="K63" i="11" s="1"/>
  <c r="L63" i="11" s="1"/>
  <c r="X99" i="11"/>
  <c r="AF99" i="11"/>
  <c r="AN99" i="11"/>
  <c r="P99" i="11"/>
  <c r="H99" i="11"/>
  <c r="F97" i="11"/>
  <c r="AF62" i="11"/>
  <c r="AI62" i="11" s="1"/>
  <c r="AJ62" i="11" s="1"/>
  <c r="H62" i="11"/>
  <c r="K62" i="11" s="1"/>
  <c r="L62" i="11" s="1"/>
  <c r="X62" i="11"/>
  <c r="AA62" i="11" s="1"/>
  <c r="AB62" i="11" s="1"/>
  <c r="P62" i="11"/>
  <c r="S62" i="11" s="1"/>
  <c r="T62" i="11" s="1"/>
  <c r="AN62" i="11"/>
  <c r="AQ62" i="11" s="1"/>
  <c r="AR62" i="11" s="1"/>
  <c r="P59" i="8"/>
  <c r="F53" i="11"/>
  <c r="AF53" i="11" s="1"/>
  <c r="N59" i="8"/>
  <c r="F55" i="11"/>
  <c r="H55" i="11" s="1"/>
  <c r="K55" i="11" s="1"/>
  <c r="L55" i="11" s="1"/>
  <c r="F57" i="11"/>
  <c r="P57" i="11" s="1"/>
  <c r="S57" i="11" s="1"/>
  <c r="T57" i="11" s="1"/>
  <c r="AN85" i="11"/>
  <c r="AQ85" i="11" s="1"/>
  <c r="AQ84" i="11" s="1"/>
  <c r="P85" i="11"/>
  <c r="P84" i="11" s="1"/>
  <c r="F84" i="11"/>
  <c r="X85" i="11"/>
  <c r="AA85" i="11" s="1"/>
  <c r="AF85" i="11"/>
  <c r="AI85" i="11" s="1"/>
  <c r="H54" i="11"/>
  <c r="K54" i="11" s="1"/>
  <c r="L54" i="11" s="1"/>
  <c r="X54" i="11"/>
  <c r="AA54" i="11" s="1"/>
  <c r="AB54" i="11" s="1"/>
  <c r="AF54" i="11"/>
  <c r="AI54" i="11" s="1"/>
  <c r="AJ54" i="11" s="1"/>
  <c r="AN54" i="11"/>
  <c r="AQ54" i="11" s="1"/>
  <c r="AR54" i="11" s="1"/>
  <c r="P54" i="11"/>
  <c r="S54" i="11" s="1"/>
  <c r="T54" i="11" s="1"/>
  <c r="X66" i="11"/>
  <c r="AA66" i="11" s="1"/>
  <c r="AN66" i="11"/>
  <c r="AN65" i="11" s="1"/>
  <c r="F65" i="11"/>
  <c r="P66" i="11"/>
  <c r="S66" i="11" s="1"/>
  <c r="AF66" i="11"/>
  <c r="AI66" i="11" s="1"/>
  <c r="AJ66" i="11" s="1"/>
  <c r="AN91" i="11"/>
  <c r="AQ92" i="11"/>
  <c r="AI92" i="11"/>
  <c r="AJ92" i="11" s="1"/>
  <c r="AF91" i="11"/>
  <c r="H91" i="11"/>
  <c r="K92" i="11"/>
  <c r="AA92" i="11"/>
  <c r="AA91" i="11" s="1"/>
  <c r="X91" i="11"/>
  <c r="S92" i="11"/>
  <c r="P91" i="11"/>
  <c r="AI94" i="11"/>
  <c r="AJ94" i="11" s="1"/>
  <c r="AI95" i="11"/>
  <c r="AJ95" i="11" s="1"/>
  <c r="K87" i="11"/>
  <c r="L87" i="11" s="1"/>
  <c r="K85" i="11"/>
  <c r="H84" i="11"/>
  <c r="AA87" i="11"/>
  <c r="AB87" i="11" s="1"/>
  <c r="AI72" i="11"/>
  <c r="AJ72" i="11" s="1"/>
  <c r="AF71" i="11"/>
  <c r="AI74" i="11"/>
  <c r="AJ74" i="11" s="1"/>
  <c r="AA73" i="11"/>
  <c r="AB73" i="11" s="1"/>
  <c r="AI73" i="11"/>
  <c r="AJ73" i="11" s="1"/>
  <c r="S73" i="11"/>
  <c r="T73" i="11" s="1"/>
  <c r="K66" i="11"/>
  <c r="L66" i="11" s="1"/>
  <c r="K67" i="11"/>
  <c r="L67" i="11" s="1"/>
  <c r="AQ82" i="11"/>
  <c r="AR82" i="11" s="1"/>
  <c r="H79" i="11"/>
  <c r="F78" i="11"/>
  <c r="X79" i="11"/>
  <c r="AN79" i="11"/>
  <c r="AF79" i="11"/>
  <c r="P79" i="11"/>
  <c r="N122" i="8"/>
  <c r="E19" i="5" s="1"/>
  <c r="D18" i="5"/>
  <c r="AA65" i="11" l="1"/>
  <c r="S72" i="11"/>
  <c r="T72" i="11" s="1"/>
  <c r="T71" i="11" s="1"/>
  <c r="AN71" i="11"/>
  <c r="S65" i="11"/>
  <c r="K69" i="11"/>
  <c r="L69" i="11" s="1"/>
  <c r="L65" i="11" s="1"/>
  <c r="H71" i="11"/>
  <c r="AA72" i="11"/>
  <c r="AB72" i="11" s="1"/>
  <c r="AB71" i="11" s="1"/>
  <c r="AN53" i="11"/>
  <c r="AQ53" i="11" s="1"/>
  <c r="X53" i="11"/>
  <c r="AA53" i="11" s="1"/>
  <c r="P53" i="11"/>
  <c r="S53" i="11" s="1"/>
  <c r="H53" i="11"/>
  <c r="K53" i="11" s="1"/>
  <c r="L72" i="11"/>
  <c r="L71" i="11" s="1"/>
  <c r="AN55" i="11"/>
  <c r="AQ55" i="11" s="1"/>
  <c r="AR55" i="11" s="1"/>
  <c r="X55" i="11"/>
  <c r="AA55" i="11" s="1"/>
  <c r="AB55" i="11" s="1"/>
  <c r="AF55" i="11"/>
  <c r="AI55" i="11" s="1"/>
  <c r="AJ55" i="11" s="1"/>
  <c r="P55" i="11"/>
  <c r="S55" i="11" s="1"/>
  <c r="T55" i="11" s="1"/>
  <c r="F51" i="11"/>
  <c r="H56" i="11"/>
  <c r="K56" i="11" s="1"/>
  <c r="L56" i="11" s="1"/>
  <c r="X61" i="11"/>
  <c r="H61" i="11"/>
  <c r="AF61" i="11"/>
  <c r="AN61" i="11"/>
  <c r="P61" i="11"/>
  <c r="F59" i="11"/>
  <c r="AA99" i="11"/>
  <c r="X97" i="11"/>
  <c r="P56" i="11"/>
  <c r="S56" i="11" s="1"/>
  <c r="T56" i="11" s="1"/>
  <c r="AN57" i="11"/>
  <c r="AQ57" i="11" s="1"/>
  <c r="AR57" i="11" s="1"/>
  <c r="AF56" i="11"/>
  <c r="AI56" i="11" s="1"/>
  <c r="AJ56" i="11" s="1"/>
  <c r="AN56" i="11"/>
  <c r="AQ56" i="11" s="1"/>
  <c r="AR56" i="11" s="1"/>
  <c r="X56" i="11"/>
  <c r="AA56" i="11" s="1"/>
  <c r="AB56" i="11" s="1"/>
  <c r="S99" i="11"/>
  <c r="P97" i="11"/>
  <c r="AQ99" i="11"/>
  <c r="AN97" i="11"/>
  <c r="AF57" i="11"/>
  <c r="AI57" i="11" s="1"/>
  <c r="AJ57" i="11" s="1"/>
  <c r="K99" i="11"/>
  <c r="H97" i="11"/>
  <c r="AI99" i="11"/>
  <c r="AF97" i="11"/>
  <c r="X57" i="11"/>
  <c r="AA57" i="11" s="1"/>
  <c r="AB57" i="11" s="1"/>
  <c r="S85" i="11"/>
  <c r="S84" i="11" s="1"/>
  <c r="H57" i="11"/>
  <c r="K57" i="11" s="1"/>
  <c r="L57" i="11" s="1"/>
  <c r="AI84" i="11"/>
  <c r="AJ85" i="11"/>
  <c r="AJ84" i="11" s="1"/>
  <c r="AF84" i="11"/>
  <c r="AR85" i="11"/>
  <c r="AR84" i="11" s="1"/>
  <c r="AN84" i="11"/>
  <c r="AB92" i="11"/>
  <c r="AB91" i="11" s="1"/>
  <c r="AQ66" i="11"/>
  <c r="AR66" i="11" s="1"/>
  <c r="AR65" i="11" s="1"/>
  <c r="AB66" i="11"/>
  <c r="AB65" i="11" s="1"/>
  <c r="X65" i="11"/>
  <c r="AB85" i="11"/>
  <c r="AB84" i="11" s="1"/>
  <c r="X84" i="11"/>
  <c r="AI53" i="11"/>
  <c r="AF65" i="11"/>
  <c r="P65" i="11"/>
  <c r="AR72" i="11"/>
  <c r="AR71" i="11" s="1"/>
  <c r="T66" i="11"/>
  <c r="T65" i="11" s="1"/>
  <c r="AI71" i="11"/>
  <c r="T92" i="11"/>
  <c r="T91" i="11" s="1"/>
  <c r="S91" i="11"/>
  <c r="L92" i="11"/>
  <c r="L91" i="11" s="1"/>
  <c r="K91" i="11"/>
  <c r="AJ91" i="11"/>
  <c r="AI91" i="11"/>
  <c r="AR92" i="11"/>
  <c r="AR91" i="11" s="1"/>
  <c r="AQ91" i="11"/>
  <c r="L85" i="11"/>
  <c r="L84" i="11" s="1"/>
  <c r="K84" i="11"/>
  <c r="AA84" i="11"/>
  <c r="AJ71" i="11"/>
  <c r="AJ65" i="11"/>
  <c r="AI65" i="11"/>
  <c r="S79" i="11"/>
  <c r="S78" i="11" s="1"/>
  <c r="P78" i="11"/>
  <c r="AI79" i="11"/>
  <c r="AI78" i="11" s="1"/>
  <c r="AF78" i="11"/>
  <c r="AQ79" i="11"/>
  <c r="AQ78" i="11" s="1"/>
  <c r="AN78" i="11"/>
  <c r="AA79" i="11"/>
  <c r="X78" i="11"/>
  <c r="K79" i="11"/>
  <c r="H78" i="11"/>
  <c r="N87" i="8"/>
  <c r="E18" i="5" s="1"/>
  <c r="F76" i="11"/>
  <c r="D9" i="10"/>
  <c r="G72" i="10"/>
  <c r="F37" i="9"/>
  <c r="D88" i="10"/>
  <c r="D72" i="10"/>
  <c r="D56" i="10"/>
  <c r="G88" i="10"/>
  <c r="G56" i="10"/>
  <c r="G41" i="10"/>
  <c r="D99" i="10"/>
  <c r="D98" i="10"/>
  <c r="D97" i="10"/>
  <c r="D96" i="10"/>
  <c r="D95" i="10"/>
  <c r="D94" i="10"/>
  <c r="D93" i="10"/>
  <c r="D92" i="10"/>
  <c r="D91" i="10"/>
  <c r="D41" i="10"/>
  <c r="S71" i="11" l="1"/>
  <c r="K65" i="11"/>
  <c r="G89" i="10"/>
  <c r="AA71" i="11"/>
  <c r="G57" i="10"/>
  <c r="D57" i="10"/>
  <c r="I25" i="8" s="1"/>
  <c r="AR99" i="11"/>
  <c r="AR97" i="11" s="1"/>
  <c r="AQ97" i="11"/>
  <c r="T99" i="11"/>
  <c r="T97" i="11" s="1"/>
  <c r="S97" i="11"/>
  <c r="AF51" i="11"/>
  <c r="X51" i="11"/>
  <c r="AB99" i="11"/>
  <c r="AB97" i="11" s="1"/>
  <c r="AA97" i="11"/>
  <c r="T85" i="11"/>
  <c r="T84" i="11" s="1"/>
  <c r="S61" i="11"/>
  <c r="P59" i="11"/>
  <c r="P51" i="11"/>
  <c r="AQ61" i="11"/>
  <c r="AN59" i="11"/>
  <c r="AJ99" i="11"/>
  <c r="AJ97" i="11" s="1"/>
  <c r="AI97" i="11"/>
  <c r="AI61" i="11"/>
  <c r="AF59" i="11"/>
  <c r="AN51" i="11"/>
  <c r="K61" i="11"/>
  <c r="H59" i="11"/>
  <c r="AQ65" i="11"/>
  <c r="L99" i="11"/>
  <c r="L97" i="11" s="1"/>
  <c r="K97" i="11"/>
  <c r="AA61" i="11"/>
  <c r="X59" i="11"/>
  <c r="H51" i="11"/>
  <c r="AR53" i="11"/>
  <c r="AR51" i="11" s="1"/>
  <c r="AQ51" i="11"/>
  <c r="AJ53" i="11"/>
  <c r="AJ51" i="11" s="1"/>
  <c r="AI51" i="11"/>
  <c r="AB53" i="11"/>
  <c r="AB51" i="11" s="1"/>
  <c r="AA51" i="11"/>
  <c r="L53" i="11"/>
  <c r="L51" i="11" s="1"/>
  <c r="K51" i="11"/>
  <c r="T53" i="11"/>
  <c r="T51" i="11" s="1"/>
  <c r="S51" i="11"/>
  <c r="T79" i="11"/>
  <c r="T78" i="11" s="1"/>
  <c r="AJ79" i="11"/>
  <c r="AJ78" i="11" s="1"/>
  <c r="AR79" i="11"/>
  <c r="AR78" i="11" s="1"/>
  <c r="L79" i="11"/>
  <c r="L78" i="11" s="1"/>
  <c r="K78" i="11"/>
  <c r="AB79" i="11"/>
  <c r="AB78" i="11" s="1"/>
  <c r="AA78" i="11"/>
  <c r="H76" i="11"/>
  <c r="K76" i="11" s="1"/>
  <c r="L76" i="11" s="1"/>
  <c r="AF76" i="11"/>
  <c r="AI76" i="11" s="1"/>
  <c r="AJ76" i="11" s="1"/>
  <c r="P76" i="11"/>
  <c r="AN76" i="11"/>
  <c r="AQ76" i="11" s="1"/>
  <c r="AR76" i="11" s="1"/>
  <c r="X76" i="11"/>
  <c r="D89" i="10"/>
  <c r="D73" i="10"/>
  <c r="D42" i="10"/>
  <c r="I38" i="8" s="1"/>
  <c r="I46" i="8" l="1"/>
  <c r="I47" i="8" s="1"/>
  <c r="I33" i="8"/>
  <c r="I34" i="8" s="1"/>
  <c r="M34" i="8" s="1"/>
  <c r="AJ61" i="11"/>
  <c r="AJ59" i="11" s="1"/>
  <c r="AI59" i="11"/>
  <c r="AR61" i="11"/>
  <c r="AR59" i="11" s="1"/>
  <c r="AQ59" i="11"/>
  <c r="T61" i="11"/>
  <c r="T59" i="11" s="1"/>
  <c r="S59" i="11"/>
  <c r="AB61" i="11"/>
  <c r="AB59" i="11" s="1"/>
  <c r="AA59" i="11"/>
  <c r="L61" i="11"/>
  <c r="L59" i="11" s="1"/>
  <c r="K59" i="11"/>
  <c r="AA76" i="11"/>
  <c r="AB76" i="11" s="1"/>
  <c r="S76" i="11"/>
  <c r="T76" i="11" s="1"/>
  <c r="I125" i="8"/>
  <c r="M125" i="8" s="1"/>
  <c r="F106" i="11" l="1"/>
  <c r="AF106" i="11" s="1"/>
  <c r="F34" i="9"/>
  <c r="F56" i="9"/>
  <c r="F62" i="9"/>
  <c r="F61" i="9"/>
  <c r="F60" i="9"/>
  <c r="L45" i="9" l="1"/>
  <c r="F55" i="9"/>
  <c r="AN106" i="11"/>
  <c r="AQ106" i="11" s="1"/>
  <c r="H106" i="11"/>
  <c r="K106" i="11" s="1"/>
  <c r="P106" i="11"/>
  <c r="S106" i="11" s="1"/>
  <c r="X106" i="11"/>
  <c r="AA106" i="11" s="1"/>
  <c r="AI106" i="11"/>
  <c r="G15" i="9"/>
  <c r="L106" i="11" l="1"/>
  <c r="AJ106" i="11"/>
  <c r="AB106" i="11"/>
  <c r="T106" i="11"/>
  <c r="AR106" i="11"/>
  <c r="F37" i="10"/>
  <c r="G24" i="2"/>
  <c r="F54" i="9"/>
  <c r="F53" i="9"/>
  <c r="F49" i="9"/>
  <c r="F48" i="9"/>
  <c r="F45" i="9"/>
  <c r="K45" i="9" s="1"/>
  <c r="F44" i="9"/>
  <c r="K44" i="9" s="1"/>
  <c r="H18" i="9"/>
  <c r="F22" i="9" l="1"/>
  <c r="F25" i="9"/>
  <c r="K43" i="9" l="1"/>
  <c r="H26" i="9"/>
  <c r="F17" i="9" l="1"/>
  <c r="F16" i="9"/>
  <c r="G17" i="9"/>
  <c r="L17" i="9" s="1"/>
  <c r="G16" i="9"/>
  <c r="L16" i="9" s="1"/>
  <c r="K16" i="9" l="1"/>
  <c r="K17" i="9"/>
  <c r="H23" i="9"/>
  <c r="F11" i="9"/>
  <c r="H8" i="9"/>
  <c r="G22" i="9"/>
  <c r="L11" i="9" l="1"/>
  <c r="L10" i="9" s="1"/>
  <c r="K11" i="9"/>
  <c r="K10" i="9" s="1"/>
  <c r="K22" i="9"/>
  <c r="K25" i="9"/>
  <c r="L25" i="9"/>
  <c r="L22" i="9"/>
  <c r="K13" i="9" l="1"/>
  <c r="K21" i="9"/>
  <c r="L21" i="9"/>
  <c r="L13" i="9" l="1"/>
  <c r="L28" i="9" s="1"/>
  <c r="K28" i="9"/>
  <c r="I124" i="8" s="1"/>
  <c r="M124" i="8" s="1"/>
  <c r="F105" i="11" l="1"/>
  <c r="AF105" i="11" s="1"/>
  <c r="D6" i="5"/>
  <c r="D7" i="5"/>
  <c r="D8" i="5"/>
  <c r="E112" i="2"/>
  <c r="G133" i="2"/>
  <c r="G130" i="2"/>
  <c r="I106" i="2"/>
  <c r="G105" i="2"/>
  <c r="G96" i="2"/>
  <c r="I86" i="2"/>
  <c r="I85" i="2"/>
  <c r="AN105" i="11" l="1"/>
  <c r="AQ105" i="11" s="1"/>
  <c r="AR105" i="11" s="1"/>
  <c r="X105" i="11"/>
  <c r="AA105" i="11" s="1"/>
  <c r="AB105" i="11" s="1"/>
  <c r="P105" i="11"/>
  <c r="S105" i="11" s="1"/>
  <c r="T105" i="11" s="1"/>
  <c r="H105" i="11"/>
  <c r="K105" i="11" s="1"/>
  <c r="L105" i="11" s="1"/>
  <c r="AI105" i="11"/>
  <c r="AJ105" i="11" s="1"/>
  <c r="M131" i="8"/>
  <c r="F111" i="11" l="1"/>
  <c r="H111" i="11" s="1"/>
  <c r="K111" i="11" s="1"/>
  <c r="L111" i="11" s="1"/>
  <c r="O131" i="8"/>
  <c r="O34" i="8"/>
  <c r="F37" i="11"/>
  <c r="O132" i="8"/>
  <c r="M132" i="8"/>
  <c r="O38" i="8"/>
  <c r="M38" i="8"/>
  <c r="F40" i="11" s="1"/>
  <c r="O124" i="8"/>
  <c r="M39" i="8"/>
  <c r="F41" i="11" s="1"/>
  <c r="O39" i="8"/>
  <c r="M40" i="8"/>
  <c r="F42" i="11" s="1"/>
  <c r="O40" i="8"/>
  <c r="O41" i="8"/>
  <c r="M41" i="8"/>
  <c r="F43" i="11" s="1"/>
  <c r="O42" i="8"/>
  <c r="M42" i="8"/>
  <c r="F44" i="11" s="1"/>
  <c r="O43" i="8"/>
  <c r="M43" i="8"/>
  <c r="F45" i="11" s="1"/>
  <c r="O46" i="8"/>
  <c r="M46" i="8"/>
  <c r="F48" i="11" s="1"/>
  <c r="O47" i="8"/>
  <c r="M47" i="8"/>
  <c r="F49" i="11" s="1"/>
  <c r="O28" i="8"/>
  <c r="M28" i="8"/>
  <c r="M25" i="8"/>
  <c r="F28" i="11" s="1"/>
  <c r="O25" i="8"/>
  <c r="O29" i="8"/>
  <c r="M29" i="8"/>
  <c r="M26" i="8"/>
  <c r="O26" i="8"/>
  <c r="M30" i="8"/>
  <c r="O30" i="8"/>
  <c r="O27" i="8"/>
  <c r="M27" i="8"/>
  <c r="O130" i="8"/>
  <c r="M130" i="8"/>
  <c r="F110" i="11" s="1"/>
  <c r="O33" i="8"/>
  <c r="M33" i="8"/>
  <c r="P28" i="11" l="1"/>
  <c r="H28" i="11"/>
  <c r="E34" i="5"/>
  <c r="E29" i="5"/>
  <c r="D34" i="5"/>
  <c r="D36" i="5"/>
  <c r="D29" i="5"/>
  <c r="D35" i="5"/>
  <c r="E36" i="5"/>
  <c r="E35" i="5"/>
  <c r="E30" i="5"/>
  <c r="D30" i="5"/>
  <c r="E33" i="5"/>
  <c r="D33" i="5"/>
  <c r="AF111" i="11"/>
  <c r="AI111" i="11" s="1"/>
  <c r="AJ111" i="11" s="1"/>
  <c r="P111" i="11"/>
  <c r="S111" i="11" s="1"/>
  <c r="T111" i="11" s="1"/>
  <c r="X111" i="11"/>
  <c r="AA111" i="11" s="1"/>
  <c r="AB111" i="11" s="1"/>
  <c r="AN111" i="11"/>
  <c r="AQ111" i="11" s="1"/>
  <c r="AR111" i="11" s="1"/>
  <c r="F32" i="11"/>
  <c r="AN32" i="11" s="1"/>
  <c r="AQ32" i="11" s="1"/>
  <c r="AR32" i="11" s="1"/>
  <c r="F29" i="11"/>
  <c r="P29" i="11" s="1"/>
  <c r="S29" i="11" s="1"/>
  <c r="T29" i="11" s="1"/>
  <c r="F31" i="11"/>
  <c r="X31" i="11" s="1"/>
  <c r="AA31" i="11" s="1"/>
  <c r="AB31" i="11" s="1"/>
  <c r="F36" i="11"/>
  <c r="AF36" i="11" s="1"/>
  <c r="F33" i="11"/>
  <c r="X33" i="11" s="1"/>
  <c r="AA33" i="11" s="1"/>
  <c r="AB33" i="11" s="1"/>
  <c r="F30" i="11"/>
  <c r="AN30" i="11" s="1"/>
  <c r="AQ30" i="11" s="1"/>
  <c r="AR30" i="11" s="1"/>
  <c r="F112" i="11"/>
  <c r="AF112" i="11" s="1"/>
  <c r="AI112" i="11" s="1"/>
  <c r="AJ112" i="11" s="1"/>
  <c r="P42" i="11"/>
  <c r="S42" i="11" s="1"/>
  <c r="T42" i="11" s="1"/>
  <c r="AF42" i="11"/>
  <c r="AI42" i="11" s="1"/>
  <c r="AJ42" i="11" s="1"/>
  <c r="AN42" i="11"/>
  <c r="AQ42" i="11" s="1"/>
  <c r="AR42" i="11" s="1"/>
  <c r="X42" i="11"/>
  <c r="H42" i="11"/>
  <c r="K42" i="11" s="1"/>
  <c r="L42" i="11" s="1"/>
  <c r="H41" i="11"/>
  <c r="K41" i="11" s="1"/>
  <c r="L41" i="11" s="1"/>
  <c r="AF41" i="11"/>
  <c r="AI41" i="11" s="1"/>
  <c r="AJ41" i="11" s="1"/>
  <c r="P41" i="11"/>
  <c r="S41" i="11" s="1"/>
  <c r="T41" i="11" s="1"/>
  <c r="X41" i="11"/>
  <c r="AN41" i="11"/>
  <c r="AN45" i="11"/>
  <c r="AQ45" i="11" s="1"/>
  <c r="AR45" i="11" s="1"/>
  <c r="H45" i="11"/>
  <c r="K45" i="11" s="1"/>
  <c r="L45" i="11" s="1"/>
  <c r="P45" i="11"/>
  <c r="S45" i="11" s="1"/>
  <c r="T45" i="11" s="1"/>
  <c r="X45" i="11"/>
  <c r="AA45" i="11" s="1"/>
  <c r="AB45" i="11" s="1"/>
  <c r="AF45" i="11"/>
  <c r="AI45" i="11" s="1"/>
  <c r="AJ45" i="11" s="1"/>
  <c r="X44" i="11"/>
  <c r="AA44" i="11" s="1"/>
  <c r="AB44" i="11" s="1"/>
  <c r="H44" i="11"/>
  <c r="K44" i="11" s="1"/>
  <c r="L44" i="11" s="1"/>
  <c r="AN44" i="11"/>
  <c r="AQ44" i="11" s="1"/>
  <c r="AR44" i="11" s="1"/>
  <c r="AF44" i="11"/>
  <c r="AI44" i="11" s="1"/>
  <c r="AJ44" i="11" s="1"/>
  <c r="P44" i="11"/>
  <c r="S44" i="11" s="1"/>
  <c r="T44" i="11" s="1"/>
  <c r="AF43" i="11"/>
  <c r="AI43" i="11" s="1"/>
  <c r="AJ43" i="11" s="1"/>
  <c r="H43" i="11"/>
  <c r="K43" i="11" s="1"/>
  <c r="L43" i="11" s="1"/>
  <c r="AN43" i="11"/>
  <c r="P43" i="11"/>
  <c r="S43" i="11" s="1"/>
  <c r="T43" i="11" s="1"/>
  <c r="X43" i="11"/>
  <c r="AA43" i="11" s="1"/>
  <c r="AB43" i="11" s="1"/>
  <c r="P49" i="11"/>
  <c r="S49" i="11" s="1"/>
  <c r="T49" i="11" s="1"/>
  <c r="H49" i="11"/>
  <c r="K49" i="11" s="1"/>
  <c r="L49" i="11" s="1"/>
  <c r="X49" i="11"/>
  <c r="AA49" i="11" s="1"/>
  <c r="AB49" i="11" s="1"/>
  <c r="AF49" i="11"/>
  <c r="AI49" i="11" s="1"/>
  <c r="AJ49" i="11" s="1"/>
  <c r="AN49" i="11"/>
  <c r="AQ49" i="11" s="1"/>
  <c r="AR49" i="11" s="1"/>
  <c r="X37" i="11"/>
  <c r="AA37" i="11" s="1"/>
  <c r="AB37" i="11" s="1"/>
  <c r="P37" i="11"/>
  <c r="AF37" i="11"/>
  <c r="H37" i="11"/>
  <c r="K37" i="11" s="1"/>
  <c r="L37" i="11" s="1"/>
  <c r="AN37" i="11"/>
  <c r="AQ37" i="11" s="1"/>
  <c r="AR37" i="11" s="1"/>
  <c r="F39" i="11"/>
  <c r="P40" i="11"/>
  <c r="H40" i="11"/>
  <c r="AN40" i="11"/>
  <c r="AF40" i="11"/>
  <c r="X40" i="11"/>
  <c r="AN48" i="11"/>
  <c r="F47" i="11"/>
  <c r="P48" i="11"/>
  <c r="AF48" i="11"/>
  <c r="X48" i="11"/>
  <c r="H48" i="11"/>
  <c r="AN110" i="11"/>
  <c r="AF110" i="11"/>
  <c r="X110" i="11"/>
  <c r="P110" i="11"/>
  <c r="H110" i="11"/>
  <c r="N44" i="8"/>
  <c r="N35" i="8"/>
  <c r="N138" i="8"/>
  <c r="E21" i="5" s="1"/>
  <c r="P138" i="8"/>
  <c r="D21" i="5" s="1"/>
  <c r="P35" i="8"/>
  <c r="N31" i="8"/>
  <c r="P31" i="8"/>
  <c r="P44" i="8"/>
  <c r="N48" i="8"/>
  <c r="P48" i="8"/>
  <c r="E5" i="2"/>
  <c r="D5" i="12" s="1"/>
  <c r="K28" i="11" l="1"/>
  <c r="L28" i="11" s="1"/>
  <c r="P17" i="8"/>
  <c r="N17" i="8"/>
  <c r="AF33" i="11"/>
  <c r="AI33" i="11" s="1"/>
  <c r="AJ33" i="11" s="1"/>
  <c r="H33" i="11"/>
  <c r="K33" i="11" s="1"/>
  <c r="L33" i="11" s="1"/>
  <c r="AN33" i="11"/>
  <c r="AQ33" i="11" s="1"/>
  <c r="AR33" i="11" s="1"/>
  <c r="P33" i="11"/>
  <c r="S33" i="11" s="1"/>
  <c r="T33" i="11" s="1"/>
  <c r="X28" i="11"/>
  <c r="AA28" i="11" s="1"/>
  <c r="AN28" i="11"/>
  <c r="AQ28" i="11" s="1"/>
  <c r="AF28" i="11"/>
  <c r="AI28" i="11" s="1"/>
  <c r="P32" i="11"/>
  <c r="S32" i="11" s="1"/>
  <c r="T32" i="11" s="1"/>
  <c r="H32" i="11"/>
  <c r="K32" i="11" s="1"/>
  <c r="L32" i="11" s="1"/>
  <c r="X30" i="11"/>
  <c r="AA30" i="11" s="1"/>
  <c r="AB30" i="11" s="1"/>
  <c r="H36" i="11"/>
  <c r="K36" i="11" s="1"/>
  <c r="K35" i="11" s="1"/>
  <c r="P31" i="11"/>
  <c r="S31" i="11" s="1"/>
  <c r="T31" i="11" s="1"/>
  <c r="AF31" i="11"/>
  <c r="AI31" i="11" s="1"/>
  <c r="AJ31" i="11" s="1"/>
  <c r="H31" i="11"/>
  <c r="K31" i="11" s="1"/>
  <c r="L31" i="11" s="1"/>
  <c r="AN31" i="11"/>
  <c r="AQ31" i="11" s="1"/>
  <c r="AR31" i="11" s="1"/>
  <c r="H29" i="11"/>
  <c r="K29" i="11" s="1"/>
  <c r="L29" i="11" s="1"/>
  <c r="X29" i="11"/>
  <c r="AA29" i="11" s="1"/>
  <c r="AB29" i="11" s="1"/>
  <c r="AN29" i="11"/>
  <c r="AQ29" i="11" s="1"/>
  <c r="AR29" i="11" s="1"/>
  <c r="X32" i="11"/>
  <c r="AA32" i="11" s="1"/>
  <c r="AB32" i="11" s="1"/>
  <c r="AF32" i="11"/>
  <c r="AI32" i="11" s="1"/>
  <c r="AJ32" i="11" s="1"/>
  <c r="P30" i="11"/>
  <c r="S30" i="11" s="1"/>
  <c r="T30" i="11" s="1"/>
  <c r="AF29" i="11"/>
  <c r="AI29" i="11" s="1"/>
  <c r="AJ29" i="11" s="1"/>
  <c r="AN36" i="11"/>
  <c r="AN35" i="11" s="1"/>
  <c r="F35" i="11"/>
  <c r="X36" i="11"/>
  <c r="X35" i="11" s="1"/>
  <c r="P36" i="11"/>
  <c r="P35" i="11" s="1"/>
  <c r="F27" i="11"/>
  <c r="AF30" i="11"/>
  <c r="AI30" i="11" s="1"/>
  <c r="AJ30" i="11" s="1"/>
  <c r="H30" i="11"/>
  <c r="K30" i="11" s="1"/>
  <c r="L30" i="11" s="1"/>
  <c r="F109" i="11"/>
  <c r="AN112" i="11"/>
  <c r="AQ112" i="11" s="1"/>
  <c r="AR112" i="11" s="1"/>
  <c r="H112" i="11"/>
  <c r="K112" i="11" s="1"/>
  <c r="L112" i="11" s="1"/>
  <c r="P112" i="11"/>
  <c r="S112" i="11" s="1"/>
  <c r="T112" i="11" s="1"/>
  <c r="X112" i="11"/>
  <c r="AA112" i="11" s="1"/>
  <c r="AB112" i="11" s="1"/>
  <c r="AA42" i="11"/>
  <c r="AB42" i="11" s="1"/>
  <c r="AQ43" i="11"/>
  <c r="AR43" i="11" s="1"/>
  <c r="AQ41" i="11"/>
  <c r="AR41" i="11" s="1"/>
  <c r="AA41" i="11"/>
  <c r="AB41" i="11" s="1"/>
  <c r="AF47" i="11"/>
  <c r="AI48" i="11"/>
  <c r="AI47" i="11" s="1"/>
  <c r="P47" i="11"/>
  <c r="S48" i="11"/>
  <c r="S47" i="11" s="1"/>
  <c r="S40" i="11"/>
  <c r="S39" i="11" s="1"/>
  <c r="P39" i="11"/>
  <c r="X47" i="11"/>
  <c r="AA48" i="11"/>
  <c r="AA47" i="11" s="1"/>
  <c r="AI37" i="11"/>
  <c r="AJ37" i="11" s="1"/>
  <c r="AQ48" i="11"/>
  <c r="AN47" i="11"/>
  <c r="AI40" i="11"/>
  <c r="AF39" i="11"/>
  <c r="AQ40" i="11"/>
  <c r="AN39" i="11"/>
  <c r="S28" i="11"/>
  <c r="H47" i="11"/>
  <c r="K48" i="11"/>
  <c r="K47" i="11" s="1"/>
  <c r="S37" i="11"/>
  <c r="T37" i="11" s="1"/>
  <c r="AF35" i="11"/>
  <c r="AI36" i="11"/>
  <c r="AA40" i="11"/>
  <c r="X39" i="11"/>
  <c r="H39" i="11"/>
  <c r="K40" i="11"/>
  <c r="K39" i="11" s="1"/>
  <c r="K110" i="11"/>
  <c r="S110" i="11"/>
  <c r="AA110" i="11"/>
  <c r="AI110" i="11"/>
  <c r="AI109" i="11" s="1"/>
  <c r="AF109" i="11"/>
  <c r="AQ110" i="11"/>
  <c r="D5" i="5"/>
  <c r="F8" i="11"/>
  <c r="D13" i="5"/>
  <c r="E13" i="5"/>
  <c r="G27" i="2" a="1"/>
  <c r="H35" i="11" l="1"/>
  <c r="AN109" i="11"/>
  <c r="S27" i="11"/>
  <c r="P27" i="11"/>
  <c r="AN27" i="11"/>
  <c r="AQ27" i="11"/>
  <c r="X27" i="11"/>
  <c r="S36" i="11"/>
  <c r="S35" i="11" s="1"/>
  <c r="AA36" i="11"/>
  <c r="AB36" i="11" s="1"/>
  <c r="AB35" i="11" s="1"/>
  <c r="AQ36" i="11"/>
  <c r="AQ35" i="11" s="1"/>
  <c r="AF27" i="11"/>
  <c r="K27" i="11"/>
  <c r="H27" i="11"/>
  <c r="AA109" i="11"/>
  <c r="X109" i="11"/>
  <c r="S109" i="11"/>
  <c r="P109" i="11"/>
  <c r="H109" i="11"/>
  <c r="AJ110" i="11"/>
  <c r="AJ109" i="11" s="1"/>
  <c r="L27" i="11"/>
  <c r="T48" i="11"/>
  <c r="T47" i="11" s="1"/>
  <c r="AB110" i="11"/>
  <c r="AB109" i="11" s="1"/>
  <c r="L36" i="11"/>
  <c r="L35" i="11" s="1"/>
  <c r="T110" i="11"/>
  <c r="T109" i="11" s="1"/>
  <c r="AR28" i="11"/>
  <c r="AR27" i="11" s="1"/>
  <c r="T40" i="11"/>
  <c r="T39" i="11" s="1"/>
  <c r="L48" i="11"/>
  <c r="L47" i="11" s="1"/>
  <c r="AJ48" i="11"/>
  <c r="AJ47" i="11" s="1"/>
  <c r="AB48" i="11"/>
  <c r="AB47" i="11" s="1"/>
  <c r="L40" i="11"/>
  <c r="L39" i="11" s="1"/>
  <c r="T28" i="11"/>
  <c r="T27" i="11" s="1"/>
  <c r="AR40" i="11"/>
  <c r="AR39" i="11" s="1"/>
  <c r="AQ39" i="11"/>
  <c r="AJ36" i="11"/>
  <c r="AJ35" i="11" s="1"/>
  <c r="AI35" i="11"/>
  <c r="AJ40" i="11"/>
  <c r="AJ39" i="11" s="1"/>
  <c r="AI39" i="11"/>
  <c r="AJ28" i="11"/>
  <c r="AJ27" i="11" s="1"/>
  <c r="AI27" i="11"/>
  <c r="AR48" i="11"/>
  <c r="AR47" i="11" s="1"/>
  <c r="AQ47" i="11"/>
  <c r="AB40" i="11"/>
  <c r="AB39" i="11" s="1"/>
  <c r="AA39" i="11"/>
  <c r="AB28" i="11"/>
  <c r="AB27" i="11" s="1"/>
  <c r="AA27" i="11"/>
  <c r="AR110" i="11"/>
  <c r="AR109" i="11" s="1"/>
  <c r="AQ109" i="11"/>
  <c r="L110" i="11"/>
  <c r="L109" i="11" s="1"/>
  <c r="K109" i="11"/>
  <c r="J132" i="2"/>
  <c r="H131" i="2"/>
  <c r="K124" i="2"/>
  <c r="K115" i="2"/>
  <c r="D114" i="2"/>
  <c r="D104" i="2"/>
  <c r="G103" i="2"/>
  <c r="F103" i="2"/>
  <c r="E97" i="2"/>
  <c r="K96" i="2"/>
  <c r="K89" i="2"/>
  <c r="K84" i="2"/>
  <c r="K82" i="2"/>
  <c r="F81" i="2"/>
  <c r="K76" i="2"/>
  <c r="I75" i="2"/>
  <c r="E75" i="2"/>
  <c r="K72" i="2"/>
  <c r="K66" i="2"/>
  <c r="K61" i="2"/>
  <c r="K55" i="2"/>
  <c r="K45" i="2"/>
  <c r="K36" i="2"/>
  <c r="K51" i="2"/>
  <c r="K34" i="2"/>
  <c r="K27" i="2"/>
  <c r="K24" i="2"/>
  <c r="K21" i="2"/>
  <c r="T36" i="11" l="1"/>
  <c r="T35" i="11" s="1"/>
  <c r="AA35" i="11"/>
  <c r="AR36" i="11"/>
  <c r="AR35" i="11" s="1"/>
  <c r="F38" i="9"/>
  <c r="F57" i="9" l="1"/>
  <c r="L44" i="9"/>
  <c r="L43" i="9" s="1"/>
  <c r="L48" i="9" l="1"/>
  <c r="L60" i="9"/>
  <c r="K60" i="9"/>
  <c r="L61" i="9" l="1"/>
  <c r="K61" i="9"/>
  <c r="L49" i="9"/>
  <c r="K49" i="9"/>
  <c r="K48" i="9"/>
  <c r="L54" i="9"/>
  <c r="K54" i="9" l="1"/>
  <c r="K53" i="9"/>
  <c r="L62" i="9"/>
  <c r="L59" i="9" s="1"/>
  <c r="L53" i="9"/>
  <c r="K62" i="9"/>
  <c r="K59" i="9" s="1"/>
  <c r="L47" i="9"/>
  <c r="K47" i="9"/>
  <c r="L52" i="9" l="1"/>
  <c r="L65" i="9" s="1"/>
  <c r="O126" i="8" s="1"/>
  <c r="D31" i="5" s="1"/>
  <c r="K52" i="9"/>
  <c r="K65" i="9" s="1"/>
  <c r="I126" i="8" s="1"/>
  <c r="M126" i="8" s="1"/>
  <c r="E31" i="5" s="1"/>
  <c r="E38" i="5" l="1"/>
  <c r="D38" i="5"/>
  <c r="P127" i="8"/>
  <c r="P70" i="8" s="1"/>
  <c r="N127" i="8"/>
  <c r="N70" i="8" s="1"/>
  <c r="F107" i="11"/>
  <c r="D20" i="5" l="1"/>
  <c r="D17" i="5" s="1"/>
  <c r="E20" i="5"/>
  <c r="E17" i="5" s="1"/>
  <c r="AF107" i="11"/>
  <c r="AN107" i="11"/>
  <c r="X107" i="11"/>
  <c r="H107" i="11"/>
  <c r="P107" i="11"/>
  <c r="F104" i="11"/>
  <c r="F117" i="11" s="1"/>
  <c r="P15" i="8"/>
  <c r="E14" i="5"/>
  <c r="E11" i="5" s="1"/>
  <c r="E23" i="5" l="1"/>
  <c r="AQ107" i="11"/>
  <c r="AN104" i="11"/>
  <c r="AN117" i="11" s="1"/>
  <c r="S107" i="11"/>
  <c r="P104" i="11"/>
  <c r="P117" i="11" s="1"/>
  <c r="K107" i="11"/>
  <c r="H104" i="11"/>
  <c r="H117" i="11" s="1"/>
  <c r="AA107" i="11"/>
  <c r="X104" i="11"/>
  <c r="X117" i="11" s="1"/>
  <c r="AI107" i="11"/>
  <c r="AF104" i="11"/>
  <c r="AF117" i="11" s="1"/>
  <c r="D14" i="5"/>
  <c r="D11" i="5" s="1"/>
  <c r="N15" i="8"/>
  <c r="E28" i="12" l="1"/>
  <c r="E29" i="12"/>
  <c r="D23" i="5"/>
  <c r="D29" i="12" s="1"/>
  <c r="AJ107" i="11"/>
  <c r="AJ104" i="11" s="1"/>
  <c r="AJ117" i="11" s="1"/>
  <c r="AI104" i="11"/>
  <c r="AI117" i="11" s="1"/>
  <c r="AB107" i="11"/>
  <c r="AB104" i="11" s="1"/>
  <c r="AB117" i="11" s="1"/>
  <c r="AA104" i="11"/>
  <c r="AA117" i="11" s="1"/>
  <c r="L107" i="11"/>
  <c r="L104" i="11" s="1"/>
  <c r="L117" i="11" s="1"/>
  <c r="K104" i="11"/>
  <c r="K117" i="11" s="1"/>
  <c r="T107" i="11"/>
  <c r="T104" i="11" s="1"/>
  <c r="T117" i="11" s="1"/>
  <c r="S104" i="11"/>
  <c r="S117" i="11" s="1"/>
  <c r="AR107" i="11"/>
  <c r="AR104" i="11" s="1"/>
  <c r="AR117" i="11" s="1"/>
  <c r="AQ104" i="11"/>
  <c r="AQ117" i="11" s="1"/>
  <c r="E30" i="12" l="1"/>
  <c r="D28" i="12"/>
  <c r="H10" i="1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tc={DDBE5A02-03E3-42C8-A21B-FCE2313D5877}</author>
  </authors>
  <commentList>
    <comment ref="B47" authorId="0" shapeId="0" xr:uid="{DDBE5A02-03E3-42C8-A21B-FCE2313D5877}">
      <text>
        <t xml:space="preserve">[Opmerkingenthread]
U kunt deze opmerkingenthread lezen in uw versie van Excel. Eventuele wijzigingen aan de thread gaan echter verloren als het bestand wordt geopend in een nieuwere versie van Excel. Meer informatie: https://go.microsoft.com/fwlink/?linkid=870924
Opmerking:
    Dit gewoon 'Bestek" noemen?
</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<sst xmlns="http://schemas.openxmlformats.org/spreadsheetml/2006/main" count="1743" uniqueCount="593">
  <si>
    <t>Uitgangspunten</t>
  </si>
  <si>
    <t>1) De plankosten worden bepaald voor de voorbereiding en ontwikkeling van het gehele kostenverhaalsgebied zoals dat in het Omgevingsplan is aangewezen.</t>
  </si>
  <si>
    <t>2) Het bedrag van de plankosten dat met behulp van dit rekenmodel wordt berekend, is het maximum van de te verhalen plankosten in het kostenverhaalsgebied als geheel.</t>
  </si>
  <si>
    <t>3) De plankosten voor het aanleggen van bovenwijkse voorzieningen worden NIET met deze regeling geraamd, maar worden separaat in de kostenverhaalsregels opgenomen (artikel 13.1 Or).</t>
  </si>
  <si>
    <t>4) De plankosten voor het (laten) uitvoeren van onderzoeken ten behoeve van het Omgevingsplan worden NIET met deze regeling geraamd maar worden separaat in de kostenverhaalsregels opgenomen (artikel 13.1 Or).</t>
  </si>
  <si>
    <t>5) De plankosten die te maken hebben met individuele dienstverlening (lees aanvraag omgevingsvergunning) worden NIET via deze regeling geraamd maar worden via de legesverordening berekend.</t>
  </si>
  <si>
    <t>6) Het systeem berekent zelf het aantal jaren waarover plankosten mogen worden doorberekend die voorafgaand aan de vaststelling van het omgevingsplan zijn gemaakt (artikel 13.3 Or).</t>
  </si>
  <si>
    <t>7) Dit rekenmodel wordt niet gebruikt bij kleine plannen met een geringe vloeroppervlakte. Bij kleine plannen worden de vaste bedragen gerekend die in de Omgevingsregeling zijn gemeld (artikel 13.5 Or).</t>
  </si>
  <si>
    <t>8) De plankosten bij kostenverhaal zonder tijdvak, zijn alleen de plankosten voor gronden die een openbare functie krijgen en niet de plankosten voor de gronden waar de bouwactiviteiten plaatsvinden.</t>
  </si>
  <si>
    <t>Invulinstructie</t>
  </si>
  <si>
    <t>Om het kostenverhaal te bepalen bij het kostenverhaalsgebied zoals dat in het Omgevingsplan is aangegeven worden de volgende stappen gezet:</t>
  </si>
  <si>
    <t>Stap 1:</t>
  </si>
  <si>
    <t>Alle vragen in de vragenlijst beantwoorden, op basis van de aanname dat de gemeente een actieve rol heeft. Bij vraag 0 dient te worden aangegeven of het om kostenverhaal met of zonder tijdvak gaat.</t>
  </si>
  <si>
    <t>Bij een deel van de vragen dient een keuze te worden gemaakt uit een lijst van mogelijke antwoorden via de listboxfunctie.</t>
  </si>
  <si>
    <t>Stap 2:</t>
  </si>
  <si>
    <t>In de productenlijst wordt de berekening van de uren en kosten gepresenteerd. Een deel van deze berekening komt tot stand met behulp van staffels.</t>
  </si>
  <si>
    <t>Rechts van de tabel (kolom R) komt met een klik op de button de betreffende staffel in beeld (op werkblad Staffels &amp; Tabellen).</t>
  </si>
  <si>
    <t>Stap 3:</t>
  </si>
  <si>
    <t>In het resultatenblad is het bedrag aan plankosten te zien dat onderdeel is van de kostenverhaalsregel in het Omgevingsplan (bij model zonder tijdvak is dit het te bepalen kostenplafond).</t>
  </si>
  <si>
    <t>Voor inzicht in de totale uren per discipline is onder het resultatenblad een opsomming daarvan opgenomen.</t>
  </si>
  <si>
    <t>Stap 4:</t>
  </si>
  <si>
    <t xml:space="preserve">Wanneer blijkt dat de eigenaar van de grond bepaalde werkzaamheden zelf heeft uitgevoerd, met goedkeuring van de gemeente, is artikel 13.8 Or van toepassing ('plankosten bij zelfrealisatie'). </t>
  </si>
  <si>
    <t>In het werkblad bijdrage per eigenaar is het mogelijk de plankosten per eigenaar te bepalen, waarbij de percentages die in artikel 13.8 Or zijn vermeld als maximum gelden.</t>
  </si>
  <si>
    <t>Overig:</t>
  </si>
  <si>
    <t>In werkblad kernoutput worden de belangrijkste gegevens en kengetallen uit de berekening als output gepresenteerd.</t>
  </si>
  <si>
    <t>Dit blad heeft geen formele functie in het bepalen van het kostenverhaal en dient puur ter verbetering van het inzicht en een eventuele vergelijking met andere projecten.</t>
  </si>
  <si>
    <t>In werkblad onderbouwing CT zijn enkele kengetallen weergegeven en is de berekening van de vtu kosten bij sloop, ophogen/voorbelasten en bouw-en woonrijpmaken te zien.</t>
  </si>
  <si>
    <t>In werkblad Staffels &amp; Tabellen zijn de uitgangspunten opgenomen waarmee een deel van de uren en kosten worden berekend.</t>
  </si>
  <si>
    <t>In werkblad Uurtarieven zijn de uurtarieven opgenomen waarmee de plankosten worden berekend.</t>
  </si>
  <si>
    <t xml:space="preserve">Vragenlijst </t>
  </si>
  <si>
    <t>Datum</t>
  </si>
  <si>
    <t>Gemeente:</t>
  </si>
  <si>
    <t>….</t>
  </si>
  <si>
    <t>Projectnaam:</t>
  </si>
  <si>
    <t>Kostenverhaalsgebied:</t>
  </si>
  <si>
    <t>Kostenverhaalmethode</t>
  </si>
  <si>
    <t>Wat is de toegepaste kostenverhaalmethode?</t>
  </si>
  <si>
    <t>Met tijdvak</t>
  </si>
  <si>
    <t>AANTEKENINGEN</t>
  </si>
  <si>
    <t>Algemeen</t>
  </si>
  <si>
    <t>Projectkenmerken</t>
  </si>
  <si>
    <t>Wat is de looptijd van het project vanaf het moment van vaststellen van het ruimtelijk besluit?</t>
  </si>
  <si>
    <t>jaar</t>
  </si>
  <si>
    <t>aantekeningen</t>
  </si>
  <si>
    <t>De voorbereidingstijd wordt door het systeem zelf berekend</t>
  </si>
  <si>
    <t>Wat is de omvang van het kostenverhaalsgebied?</t>
  </si>
  <si>
    <t>m2</t>
  </si>
  <si>
    <t>Exclusief te handhaven percelen</t>
  </si>
  <si>
    <t>Wat voor een kostenverhaalsgebied is het?</t>
  </si>
  <si>
    <t>[Selecteer type]</t>
  </si>
  <si>
    <t>Betreft het een herstructurerings/transformatie opgave?</t>
  </si>
  <si>
    <t>[Selecteer keuze]</t>
  </si>
  <si>
    <t>Wat zijn de (maximaal) beoogde kostenverhaalsplichtige bouwactiviteiten?</t>
  </si>
  <si>
    <t xml:space="preserve">Woonfunctie </t>
  </si>
  <si>
    <t>Aantal</t>
  </si>
  <si>
    <t xml:space="preserve">Bedrijven </t>
  </si>
  <si>
    <t>Uitgeefbaar</t>
  </si>
  <si>
    <t xml:space="preserve">Overige commerciële voorzieningen </t>
  </si>
  <si>
    <t>bvo</t>
  </si>
  <si>
    <t xml:space="preserve">Niet commerciële voorzieningen </t>
  </si>
  <si>
    <t>De dichtheid is:</t>
  </si>
  <si>
    <t>a</t>
  </si>
  <si>
    <t>Hoeveel hiervan is m2 verharding?</t>
  </si>
  <si>
    <t>b</t>
  </si>
  <si>
    <t>Dus is hiervan m2 groen/water</t>
  </si>
  <si>
    <t>Planontwikkeling</t>
  </si>
  <si>
    <t>Zijn de volgende onderzoeken nodig voor het kostenverhaalsgebied?</t>
  </si>
  <si>
    <t xml:space="preserve">Beoordelingsplicht Milieu Effect Rapportage (MER) </t>
  </si>
  <si>
    <t xml:space="preserve">Nader onderzoek luchtkwaliteit </t>
  </si>
  <si>
    <t xml:space="preserve">Aanvullend archeologisch onderzoek </t>
  </si>
  <si>
    <t>Worden de volgende stedenbouwkundige producten opgesteld?</t>
  </si>
  <si>
    <t>Stedenbouwkundig plan</t>
  </si>
  <si>
    <t>Beeldkwaliteitsplan</t>
  </si>
  <si>
    <t>Inrichtingsplan openbare ruimte</t>
  </si>
  <si>
    <t>Omgevingsrecht</t>
  </si>
  <si>
    <t>Zo ja, wat is de verhouding in oppervlakte ten opzichte van dit Omgevingsplan?</t>
  </si>
  <si>
    <t xml:space="preserve">% </t>
  </si>
  <si>
    <t>Van het totale Omgevingsplan</t>
  </si>
  <si>
    <t xml:space="preserve">Inbreng en verwerving van onroerende zaken </t>
  </si>
  <si>
    <t>Waardering via Wet WOZ</t>
  </si>
  <si>
    <t>Via onafhankelijke taxatie</t>
  </si>
  <si>
    <t>Hoeveel waardebepalingen moeten er worden verricht?</t>
  </si>
  <si>
    <t>totaal</t>
  </si>
  <si>
    <t>Waarvan aantal onbebouwde percelen</t>
  </si>
  <si>
    <t>stuks</t>
  </si>
  <si>
    <t>Waarvan aantal bebouwde percelen</t>
  </si>
  <si>
    <t>Hoeveel onroerende zaken is de gemeente van plan daadwerkelijk te verwerven?</t>
  </si>
  <si>
    <t>Waarvan onbebouwde percelen</t>
  </si>
  <si>
    <t>Waarvan gebouwen met een woonfunctie</t>
  </si>
  <si>
    <t>c</t>
  </si>
  <si>
    <t xml:space="preserve">Waarvan gebouwen met een industriefunctie, winkelfunctie of kantoorfunctie </t>
  </si>
  <si>
    <t>d</t>
  </si>
  <si>
    <t>Waarvan bijzondere objecten</t>
  </si>
  <si>
    <t>Van hoeveel huur(pacht)ontbindingen is sprake?</t>
  </si>
  <si>
    <t xml:space="preserve">Indien er met een onteigeningsplan wordt gewerkt  </t>
  </si>
  <si>
    <t>Voor hoeveel onroerende zaken wordt een onteigeningsbeschikking voorbereid?</t>
  </si>
  <si>
    <t>In hoeveel van die gevallen komt het tot een bekrachtingsprocedure onteigeningsbeschikking?</t>
  </si>
  <si>
    <t>Wordt of is een voorkeursrecht gevestigd?</t>
  </si>
  <si>
    <t xml:space="preserve">Civiele en cultuurtechniek </t>
  </si>
  <si>
    <t>Slopen</t>
  </si>
  <si>
    <t>Is sprake van sloop van onroerende zaken?</t>
  </si>
  <si>
    <t>Zo ja, hoeveel m3 moet er gesloopt worden?</t>
  </si>
  <si>
    <t>m3</t>
  </si>
  <si>
    <t>Hoeveel procent van de te slopen onroerende zaken bevat agrarische bedrijven/kassen?</t>
  </si>
  <si>
    <t>%</t>
  </si>
  <si>
    <t>Hoeveel procent van de te slopen onroerende zaken bevat overige onroerende zaken?</t>
  </si>
  <si>
    <t>In hoeveel bestekken worden deze m3 gesloopt?</t>
  </si>
  <si>
    <t>Is er sprake van asbest in de te slopen onroerende zaken?</t>
  </si>
  <si>
    <t>e</t>
  </si>
  <si>
    <t xml:space="preserve">Zo ja, in hoeveel procent van het totaal aantal te slopen m3 is sprake van asbest? </t>
  </si>
  <si>
    <t>f</t>
  </si>
  <si>
    <t>Op welke wijze wordt het slopen aanbesteed?</t>
  </si>
  <si>
    <t>Onderhands</t>
  </si>
  <si>
    <t>Openbaar</t>
  </si>
  <si>
    <t>Europees</t>
  </si>
  <si>
    <t>Ophogen/voorbelasten</t>
  </si>
  <si>
    <t>Is sprake van ophoging danwel voorbelasting?</t>
  </si>
  <si>
    <t>In hoeveel deelplannen/fasen wordt er opgehoogd/voorbelast?</t>
  </si>
  <si>
    <t>deelplan/fase</t>
  </si>
  <si>
    <t>Wat is de gemiddelde te verwachten zettingstijd?</t>
  </si>
  <si>
    <t>Wat is de gemiddelde hoogte van de voorbelasting?</t>
  </si>
  <si>
    <t>m1</t>
  </si>
  <si>
    <t>Bouw en woonrijpmaken</t>
  </si>
  <si>
    <t>Is sprake van bouw-en of woonrijpmaken?</t>
  </si>
  <si>
    <t xml:space="preserve">Op welke wijze wordt het bouw-en woonrijpmaken aanbesteed? </t>
  </si>
  <si>
    <t xml:space="preserve">Is er sprake van bodemsanering? </t>
  </si>
  <si>
    <t>Productenlijst</t>
  </si>
  <si>
    <t>Invloedsfactoren :</t>
  </si>
  <si>
    <t>omschrijving:</t>
  </si>
  <si>
    <t>I Ligging kostenverhaalsgebied</t>
  </si>
  <si>
    <t>II Type opgave</t>
  </si>
  <si>
    <t>III Verwervingssituatie</t>
  </si>
  <si>
    <t>IV Type programma</t>
  </si>
  <si>
    <t>V Onderzoeken</t>
  </si>
  <si>
    <t>VI Woon-werkmilieu</t>
  </si>
  <si>
    <t>Producten/werkzaamheden</t>
  </si>
  <si>
    <t>Disciplines</t>
  </si>
  <si>
    <t>Waarde</t>
  </si>
  <si>
    <t xml:space="preserve">Uren of bedrag </t>
  </si>
  <si>
    <t>Tarief</t>
  </si>
  <si>
    <t>Complexiteit</t>
  </si>
  <si>
    <t>Totaal in Euro's</t>
  </si>
  <si>
    <t>Totaal in uren</t>
  </si>
  <si>
    <t>Omgevingsplan, projectbesluit of omgevingsvergunning voor het kostenverhaalsgebied</t>
  </si>
  <si>
    <t>1.1</t>
  </si>
  <si>
    <t>Opstellen van een scenario t.b.v. vaststellen kostenplafond bij organische gebiedsontwikkeling</t>
  </si>
  <si>
    <t>Invloedsfactoren (I tm V)</t>
  </si>
  <si>
    <t>Opstellen scenario</t>
  </si>
  <si>
    <t>Stedenbouw, Civiele techniek, Beleidsafdelingen &amp; Planeconomie</t>
  </si>
  <si>
    <t>Bekijk Staffel</t>
  </si>
  <si>
    <t>Projectmanagement</t>
  </si>
  <si>
    <t>Landmeten/vastgoedinformatie</t>
  </si>
  <si>
    <t>A. Opstellen en vaststellen gedetailleerd omgevingsplan</t>
  </si>
  <si>
    <t>Opstellen en vaststellen omgevingsplan</t>
  </si>
  <si>
    <t>Omgevingsrecht jurist</t>
  </si>
  <si>
    <t>Stedenbouw</t>
  </si>
  <si>
    <t>Planeconomie</t>
  </si>
  <si>
    <t>Beleidsafdelingen</t>
  </si>
  <si>
    <t>Communicatie</t>
  </si>
  <si>
    <t>Opstellen regels kostenverhaal</t>
  </si>
  <si>
    <t>Grondzaken en planeconomie</t>
  </si>
  <si>
    <t xml:space="preserve">1.1 </t>
  </si>
  <si>
    <t>B. Opstellen en vaststellen projectbesluit of verlenen omgevingsvergunning voor een BOPA</t>
  </si>
  <si>
    <t>Opstellen en vaststellen projectbesluit of verlenen omgevingsvergunning voor een BOPA</t>
  </si>
  <si>
    <t>1.2</t>
  </si>
  <si>
    <t>Invloedsfactoren (I, II, IV, V, VI)</t>
  </si>
  <si>
    <t>Uur per gebouw met een woonfunctie (aantal woningen)</t>
  </si>
  <si>
    <t>Uur per 100 m2 grond/bvo met andere bouwactiviteiten dan woningbouw</t>
  </si>
  <si>
    <t>Civiele techniek</t>
  </si>
  <si>
    <t>1.3</t>
  </si>
  <si>
    <t>Invloedsfactoren (IV)</t>
  </si>
  <si>
    <t>Werkzaamheden ten behoeve van het uitvoeren van het omgevingsplan</t>
  </si>
  <si>
    <t>2.1</t>
  </si>
  <si>
    <t>A. Taxatie inbrengwaarde percelen</t>
  </si>
  <si>
    <t>Invloedsfactoren (n.v.t.)</t>
  </si>
  <si>
    <t>Uur per onbebouwd perceel</t>
  </si>
  <si>
    <t>Taxateur</t>
  </si>
  <si>
    <t>Uur per bebouwd perceel</t>
  </si>
  <si>
    <t>Ambtelijke begeleiding onderzoek</t>
  </si>
  <si>
    <t>Via Wet WOZ</t>
  </si>
  <si>
    <t>Planeconomie/grondzaken</t>
  </si>
  <si>
    <t>Hertaxatie inbrengwaarde (vijfjaarlijks)</t>
  </si>
  <si>
    <t>B. Taxatie en aankoop onroerende zaak</t>
  </si>
  <si>
    <t>Uur per onbebouwde perceel</t>
  </si>
  <si>
    <t>Grondzaken</t>
  </si>
  <si>
    <t xml:space="preserve">Uur per gebouw met een woonfunctie </t>
  </si>
  <si>
    <t xml:space="preserve">Uur per gebouw met een industriefunctie, winkelfunctie of kantoorfunctie </t>
  </si>
  <si>
    <t>Uur per gebouw met een industriefunctie, winkelfunctie of kantoorfunctie in herstructurering</t>
  </si>
  <si>
    <t>Uur per bijzonder object</t>
  </si>
  <si>
    <t>Uur per bijzonder object in herstructurering</t>
  </si>
  <si>
    <t>Uur per huur/pachtontbinding</t>
  </si>
  <si>
    <t>C. Onteigenen van onroerende zaken</t>
  </si>
  <si>
    <t>Uur per procedure van de voorbereiding van een onteigeningsbeschikking</t>
  </si>
  <si>
    <t>Uur per bekrachtigingsprocedure onteigeningsbeschikking</t>
  </si>
  <si>
    <t>Vast bedrag advocaatkosten per onteigeningsbeschikking</t>
  </si>
  <si>
    <t>Advocatuur</t>
  </si>
  <si>
    <t xml:space="preserve">D. Vestigen voorkeursrecht </t>
  </si>
  <si>
    <t>Uur voor vestiging voorkeursrecht</t>
  </si>
  <si>
    <t>2.2</t>
  </si>
  <si>
    <t xml:space="preserve">Inrichtingsplan openbare ruimte </t>
  </si>
  <si>
    <t>Invloedsfactoren (I, II, IV, V)</t>
  </si>
  <si>
    <t>Uur per 100 m2 verharding</t>
  </si>
  <si>
    <t>Stedenbouw, civiele techniek</t>
  </si>
  <si>
    <t>Uur per 100 m2 groen/water</t>
  </si>
  <si>
    <t>2.3</t>
  </si>
  <si>
    <t>Voorbereiding, toezicht en directievoering bij civiel en cultuurtechnische werken</t>
  </si>
  <si>
    <t>a. Slopen</t>
  </si>
  <si>
    <t>Ingenieursbureau</t>
  </si>
  <si>
    <t>b. Ophogen/voorbelasten</t>
  </si>
  <si>
    <t>c. Bouw en woonrijpmaken</t>
  </si>
  <si>
    <t xml:space="preserve"> </t>
  </si>
  <si>
    <t>2.4</t>
  </si>
  <si>
    <t>Algemene en financiele verantwoording en aansturing van het project inclusief bestuurlijke besluitvorming</t>
  </si>
  <si>
    <t>Invloedsfactoren (I t/m V)</t>
  </si>
  <si>
    <t>a. Projectmanagement uur per jaar - verantwoording</t>
  </si>
  <si>
    <t>b. Projectassistentie uur per jaar - verantwoording</t>
  </si>
  <si>
    <t>Projectassistentie</t>
  </si>
  <si>
    <t>c. Financieel management uur per jaar - verantwoording</t>
  </si>
  <si>
    <t>d. Projectmanagement - aansturing</t>
  </si>
  <si>
    <t>e. Projectassistentie - aansturing</t>
  </si>
  <si>
    <t>f. Planeconomie - aansturing</t>
  </si>
  <si>
    <t>g. Stedenbouw - aansturing</t>
  </si>
  <si>
    <t>h. Civiele techniek - aansturing</t>
  </si>
  <si>
    <t>Resultaat</t>
  </si>
  <si>
    <t>Uren</t>
  </si>
  <si>
    <t>Euro's</t>
  </si>
  <si>
    <t>Inbreng en verwerving van onroerende zaken (A t/m D)</t>
  </si>
  <si>
    <t>Totaal kostenverhaal</t>
  </si>
  <si>
    <t>Resultaat per discipline*</t>
  </si>
  <si>
    <t>Verbergen:</t>
  </si>
  <si>
    <t>Ruimtelijke Ordening</t>
  </si>
  <si>
    <t>Management</t>
  </si>
  <si>
    <t>Verwerving</t>
  </si>
  <si>
    <t>Nieuw - onder planeconomie</t>
  </si>
  <si>
    <t xml:space="preserve">Civiele en cultuur techniek </t>
  </si>
  <si>
    <t xml:space="preserve">* In de productenlijst zijn sommige uren gegroepeerd geraamd, in deze verdeling is voor die gevallen een globale verdeling naar de betreffende disciplines toegepast. </t>
  </si>
  <si>
    <t>Kernoutput</t>
  </si>
  <si>
    <t>Soort kostenverhaalsgebied</t>
  </si>
  <si>
    <t>Looptijd project</t>
  </si>
  <si>
    <t>Omvang kostenverhaalsgebied</t>
  </si>
  <si>
    <t>Uitgeefbaar terrein</t>
  </si>
  <si>
    <t>Openbaar gebied</t>
  </si>
  <si>
    <t>Programma wonen</t>
  </si>
  <si>
    <t>WEQ</t>
  </si>
  <si>
    <t>Programma niet wonen (WEQ)</t>
  </si>
  <si>
    <t>Programma totaal (WEQ)</t>
  </si>
  <si>
    <t>WEQ / jaar</t>
  </si>
  <si>
    <t>WEQ/jaar</t>
  </si>
  <si>
    <t xml:space="preserve">Dichtheid </t>
  </si>
  <si>
    <t>WEQ/ha.</t>
  </si>
  <si>
    <t>Complexiteit (invloedfactoren I t/m V)</t>
  </si>
  <si>
    <t>Resultaat indicatoren</t>
  </si>
  <si>
    <t>Totaal kostenverhaal per WEQ</t>
  </si>
  <si>
    <t>Totaal kostenverhaal per jaar</t>
  </si>
  <si>
    <t>Gemiddeld uurtarief</t>
  </si>
  <si>
    <t>De plankostenbijdrage per eigenaar.</t>
  </si>
  <si>
    <t>Totale opbrengstpotentie in het kostenverhaalsgebied:</t>
  </si>
  <si>
    <t>…</t>
  </si>
  <si>
    <t>naam grondeigenaar</t>
  </si>
  <si>
    <t>opbrengstpotentie beschikking</t>
  </si>
  <si>
    <t>Totaal resultaat plankosten</t>
  </si>
  <si>
    <t>aandeel in de plankosten is;</t>
  </si>
  <si>
    <t>eigenaar voert onderstaande activiteiten uit: cf art 13.8 Or</t>
  </si>
  <si>
    <t>vergoeding voor deze activiteiten</t>
  </si>
  <si>
    <t>te vergoeden voor werkzaamheden gemeente</t>
  </si>
  <si>
    <t>euro's</t>
  </si>
  <si>
    <t>zelf vergoedingspercentage invoeren</t>
  </si>
  <si>
    <t>vermindering bedraagt ten hoogste volgens art 13.8 Or:</t>
  </si>
  <si>
    <t>prod.</t>
  </si>
  <si>
    <t>maximaal 60%</t>
  </si>
  <si>
    <t>sted,civ,bel,pe</t>
  </si>
  <si>
    <t>pm</t>
  </si>
  <si>
    <t>vgi</t>
  </si>
  <si>
    <t>A.</t>
  </si>
  <si>
    <t>jur</t>
  </si>
  <si>
    <t>sted</t>
  </si>
  <si>
    <t>pe</t>
  </si>
  <si>
    <t>bel</t>
  </si>
  <si>
    <t>com</t>
  </si>
  <si>
    <t>gz/pe</t>
  </si>
  <si>
    <t>B.</t>
  </si>
  <si>
    <t>maximaal 90%</t>
  </si>
  <si>
    <t>civ</t>
  </si>
  <si>
    <t>Via  onafhankelijke taxatie</t>
  </si>
  <si>
    <t>tax</t>
  </si>
  <si>
    <t>Via  Wet WOZ</t>
  </si>
  <si>
    <t>pe/gz</t>
  </si>
  <si>
    <t>gz</t>
  </si>
  <si>
    <t>adv</t>
  </si>
  <si>
    <t>2.5</t>
  </si>
  <si>
    <t>sted/civ</t>
  </si>
  <si>
    <t>2.6</t>
  </si>
  <si>
    <t>maximaal 80%</t>
  </si>
  <si>
    <t>ib</t>
  </si>
  <si>
    <t>2.7</t>
  </si>
  <si>
    <t>pa</t>
  </si>
  <si>
    <t>TOTAAL PLANKOSTEN</t>
  </si>
  <si>
    <t>Onderbouwing civiele en cultuur techniek</t>
  </si>
  <si>
    <t>Plankosten SLOPEN</t>
  </si>
  <si>
    <t>uren</t>
  </si>
  <si>
    <t>Verrekenfactor</t>
  </si>
  <si>
    <t>Totaal in euro's</t>
  </si>
  <si>
    <t>Aantal bestekken sloop (antwoord op vraag in vragenlijst):</t>
  </si>
  <si>
    <t>Voorbereiding, aanbesteding en gunning</t>
  </si>
  <si>
    <t>Bestekschrijver/calculator</t>
  </si>
  <si>
    <t>Directievoering en toezicht</t>
  </si>
  <si>
    <t>Uitvoeringstijd per 300 m³ (1 woning)</t>
  </si>
  <si>
    <t>Totaal uitvoeringstijd sloopwerkzaamheden</t>
  </si>
  <si>
    <t>Directievoering</t>
  </si>
  <si>
    <t>Toezichthouden</t>
  </si>
  <si>
    <t>Type te slopen onroerende zaak</t>
  </si>
  <si>
    <t>Aanwezigheid asbest</t>
  </si>
  <si>
    <t>Projectleiding</t>
  </si>
  <si>
    <t>Werkzaamheden per week tijdens uitvoering</t>
  </si>
  <si>
    <t>Verrekenfactor Type te slopen onroerende zaak</t>
  </si>
  <si>
    <t>Verrekenfactor Aanwezigheid asbest</t>
  </si>
  <si>
    <t>Begeleiding aanbesteding (CT Projectleider)</t>
  </si>
  <si>
    <t>Verrekenfactor Wijze van aanbesteding</t>
  </si>
  <si>
    <t xml:space="preserve">Totaal plankosten SLOPEN </t>
  </si>
  <si>
    <t>Plankosten BOUW EN WOONRIJPMAKEN</t>
  </si>
  <si>
    <t>Op te halen variabelen uit vragen- en produktenlijst</t>
  </si>
  <si>
    <t>Kostenverhaalsgebied</t>
  </si>
  <si>
    <t>ha</t>
  </si>
  <si>
    <t>Aantal deelgebieden volgens de norm</t>
  </si>
  <si>
    <t>Aantal deelgebieden cf verhouding grondgebruik</t>
  </si>
  <si>
    <t>Bekijk Hulptabel</t>
  </si>
  <si>
    <t>Type locatie</t>
  </si>
  <si>
    <t>Aantal bestekken dat bij type locatie hoort</t>
  </si>
  <si>
    <t>Uitgangspunten BOUW EN WOONRIJPMAKEN</t>
  </si>
  <si>
    <t>Ontwerp VO en DO:</t>
  </si>
  <si>
    <t>CT ontwerper (per ontwerp VO &amp; DO per deelgebied)</t>
  </si>
  <si>
    <t>Rioleringsplan (per ha)</t>
  </si>
  <si>
    <t>Bestek</t>
  </si>
  <si>
    <t>Bestekschrijver/calculator (per bestek)</t>
  </si>
  <si>
    <t>CT tekenaar (per bestek)</t>
  </si>
  <si>
    <t>Wijze van aanbesteden</t>
  </si>
  <si>
    <t>Directievoering (per week gedurende uitvoering)</t>
  </si>
  <si>
    <t>Toezichthouder (per week gedurende uitvoering)</t>
  </si>
  <si>
    <t>Uitvoeringstijd BWRM</t>
  </si>
  <si>
    <t xml:space="preserve">maanden </t>
  </si>
  <si>
    <t>Extra uitvoeringstijd BRM ivm bodemsanering</t>
  </si>
  <si>
    <t>Totaal uitvoeringstijd bestekken</t>
  </si>
  <si>
    <t>maanden</t>
  </si>
  <si>
    <t>Begeleiding ontwerp (per ontwerp VO en DO)</t>
  </si>
  <si>
    <t>Begeleiding aanbesteding (per bestek)</t>
  </si>
  <si>
    <t>Werkzaamheden (per week gedurende uitvoering)</t>
  </si>
  <si>
    <t>Wijze van aanbesteding</t>
  </si>
  <si>
    <t>Totaal plankosten BOUW EN WOONRIJPMAKEN</t>
  </si>
  <si>
    <t>PLANKOSTEN OPHOGEN/VOORBELASTEN</t>
  </si>
  <si>
    <t>Rapportage</t>
  </si>
  <si>
    <t>Veldonderzoeken</t>
  </si>
  <si>
    <t>Monitoring</t>
  </si>
  <si>
    <t>Inmeting</t>
  </si>
  <si>
    <t>Toezichthouder</t>
  </si>
  <si>
    <t xml:space="preserve">Totaal plankosten ophogen </t>
  </si>
  <si>
    <t>Staffels &amp; Tabellen</t>
  </si>
  <si>
    <t>1. Staffel aantal deelgebieden</t>
  </si>
  <si>
    <t>ha Kostenverhaalsgebied</t>
  </si>
  <si>
    <t>ha openbaar gebied</t>
  </si>
  <si>
    <t>Aantal deelgebieden volgens de norm [met tijdvak]</t>
  </si>
  <si>
    <t>Aantal deelgebieden volgens de norm (zonder tijdvak)</t>
  </si>
  <si>
    <t>Deelgebied voor kostenverhaalsgebied kleiner dan 0,5</t>
  </si>
  <si>
    <t>Deelgebied voor openbaar gebied kleiner dan 0,5</t>
  </si>
  <si>
    <t>Deelgebied voor kostenverhaalsgebied tussen 0,5 en &lt; 1 ha</t>
  </si>
  <si>
    <t>Deelgebied voor openbaar gebied tussen 0,5 en &lt; 1 ha</t>
  </si>
  <si>
    <t>Ha per deelgebied voor kostenverhaalsgebied tussen 1 en &lt; 5 ha</t>
  </si>
  <si>
    <t>Ha per deelgebied voor openbaar gebied tussen 1 en &lt; 5 ha</t>
  </si>
  <si>
    <t>Ha per deelgebied voor kostenverhaalsgebied tussen 5 en &lt; 15 ha</t>
  </si>
  <si>
    <t>Ha per deelgebied voor openbaar gebied tussen 5 en &lt; 15 ha</t>
  </si>
  <si>
    <t>Ha per deelgebied voor kostenverhaalsgebied tussen 15 en &lt; 30 ha</t>
  </si>
  <si>
    <t>Ha per deelgebied voor openbaar gebied tussen 15 en &lt; 30 ha</t>
  </si>
  <si>
    <t>Ha per deelgebied voor kostenverhaalsgebied tussen 30 en &lt; 50 ha</t>
  </si>
  <si>
    <t>Ha per deelgebied voor openbaar gebied tussen 30 en &lt; 50 ha</t>
  </si>
  <si>
    <t>Ha per deelgebied voor kostenverhaalsgebied tussen 50 en &lt; 75 ha</t>
  </si>
  <si>
    <t>Ha per deelgebied voor openbaar gebied tussen 50 en &lt; 75 ha</t>
  </si>
  <si>
    <t>Ha per deelgebied voor kostenverhaalsgebied tussen 75 en &lt; 100 ha</t>
  </si>
  <si>
    <t>Ha per deelgebied voor openbaar gebied tussen 75 en &lt; 100 ha</t>
  </si>
  <si>
    <t>Ha per deelgebied voor kostenverhaalsgebied groter dan 100 ha</t>
  </si>
  <si>
    <t>Ha per deelgebied voor openbaar gebied groter dan 100 ha</t>
  </si>
  <si>
    <t>2. Hulptabel te berekenen aantal deelgebieden</t>
  </si>
  <si>
    <t>Verhouding openbaar/uitgeefbaar tov norm</t>
  </si>
  <si>
    <t>Hulptabel te berekenen aantal deelgebieden</t>
  </si>
  <si>
    <t>% t.o.v. norm</t>
  </si>
  <si>
    <t>Verrekeningsfactor</t>
  </si>
  <si>
    <t>Te hanteren verreken % t.o.v. norm deelgebieden:</t>
  </si>
  <si>
    <t>3. Staffel kosten projectbesluit en omgevingsvergunning</t>
  </si>
  <si>
    <t>ha kostenverhaalsgebied</t>
  </si>
  <si>
    <t>onderdeel van groter omgevingsplan</t>
  </si>
  <si>
    <t>uur projectbesluit of omgevingsvergunning voor een buitenplanse omgevingsactiviteit</t>
  </si>
  <si>
    <t>uur voor kostenverhaalgebied &lt; 0,5 ha</t>
  </si>
  <si>
    <t>uur voor kostenverhaalgebied tussen 0,5 ha en 1 ha</t>
  </si>
  <si>
    <t>uur voor kostenverhaalgebied tussen 1 ha en 3 ha</t>
  </si>
  <si>
    <t>uur voor kostenverhaalgebied tussen 3 ha en 5 ha</t>
  </si>
  <si>
    <t>uur voor kostenverhaalgebied tussen 5 ha en 10 ha</t>
  </si>
  <si>
    <t>uur voor kostenverhaalgebied tussen 10 ha en 15 ha</t>
  </si>
  <si>
    <t>uur voor kostenverhaalgebied tussen 15 ha en 20 ha</t>
  </si>
  <si>
    <t>uur voor kostenverhaalgebied tussen 20 ha en 50 ha</t>
  </si>
  <si>
    <t>uur voor kostenverhaalgebied groter dan 50 ha</t>
  </si>
  <si>
    <t>4. Staffel kosten Omgevingsplan</t>
  </si>
  <si>
    <t>uur voor gedetailleerd omgevingsplan. Met tijdvak</t>
  </si>
  <si>
    <t>uur voor gedetailleerd omgevingsplan. Zonder tijdvak</t>
  </si>
  <si>
    <t>5. Staffel opstellen regels kostenverhaal</t>
  </si>
  <si>
    <t>Bij een omgevingsplan</t>
  </si>
  <si>
    <t>uur voor opstellen kostenverhaalsregels voor met tijdvak en zonder tijdvak</t>
  </si>
  <si>
    <t>6. Staffel opstellen regels kostenverhaal</t>
  </si>
  <si>
    <t>Projectbesluit of omgevingsvergunning voor een buitenplanse omgevingsactiviteit</t>
  </si>
  <si>
    <t>uur voor opstellen kostenverhaalsregels. Met tijdvak</t>
  </si>
  <si>
    <t>uur voor opstellen kostenverhaalsregels. Zonder tijdvak</t>
  </si>
  <si>
    <t>7. Staffel uur per gebouw met een woonfuctie (aantal woningen) voor het stedenbouwkundig plan</t>
  </si>
  <si>
    <t>Aantal woonfucties</t>
  </si>
  <si>
    <t>ha. Plangebied</t>
  </si>
  <si>
    <t>Uur voor het opstellen stedenbouwkundig plan per gebouw (aantal woningen). Met tijdvak</t>
  </si>
  <si>
    <t>Opslag omvang plangebied ivm meerdere producten</t>
  </si>
  <si>
    <t>uur per gebouw met een woonfuctie (aantal woningen) &lt; 50</t>
  </si>
  <si>
    <t>Plangebied kleiner dan 10 ha.</t>
  </si>
  <si>
    <t>uur per gebouw met een woonfuctie (aantal woningen) tussen 50 en 100</t>
  </si>
  <si>
    <t>Plangebied tussen de 10 en 20 ha</t>
  </si>
  <si>
    <t>uur per gebouw met een woonfuctie (aantal woningen) tussen 100 en 200</t>
  </si>
  <si>
    <t>Plangebied tussen de 20 en 30 ha</t>
  </si>
  <si>
    <t>uur per gebouw met een woonfuctie (aantal woningen) tussen 200 en 300</t>
  </si>
  <si>
    <t>Plangebied tussen de 30 en 40 ha</t>
  </si>
  <si>
    <t>uur per gebouw met een woonfuctie (aantal woningen) tussen 300 en 500</t>
  </si>
  <si>
    <t>Plangebied tussen de 40 en 50 ha</t>
  </si>
  <si>
    <t>uur per gebouw met een woonfuctie (aantal woningen) tussen 500 en 750</t>
  </si>
  <si>
    <t>Plangebied tussen de 50 en 60 ha</t>
  </si>
  <si>
    <t>uur per gebouw met een woonfuctie (aantal woningen) tussen 750 en 1000</t>
  </si>
  <si>
    <t>Plangebied tussen de 60 en 80 ha</t>
  </si>
  <si>
    <t>uur per gebouw met een woonfuctie (aantal woningen) tussen 1000 en 2000</t>
  </si>
  <si>
    <t>Plangebied tussen de 80 en 100 ha</t>
  </si>
  <si>
    <t>uur per gebouw met een woonfuctie (aantal woningen) tussen 2000 en 5000</t>
  </si>
  <si>
    <t>Plangebied tussen de 100 en 150 ha</t>
  </si>
  <si>
    <t>uur per gebouw met een woonfuctie (aantal woningen) meer dan 5000</t>
  </si>
  <si>
    <t>Plangebied groter dan 150 ha</t>
  </si>
  <si>
    <t>Uur voor het opstellen stedenbouwkundig plan per gebouw (aantal woningen). Zonder tijdvak</t>
  </si>
  <si>
    <t>8. Staffel uur per gebouw met een woonfuctie (aantal woningen) voor het beeldkwaliteitsplan</t>
  </si>
  <si>
    <t>Uur voor het opstellen beeldkwaliteitsplan per gebouw (aantal woningen). Met tijdvak</t>
  </si>
  <si>
    <t>Uur voor het opstellen beeldkwaliteitsplan per gebouw (aantal woningen). Zonder tijdvak</t>
  </si>
  <si>
    <t>9. Staffel projectmanagement uur per jaar voor de algemene en financiele verantwoordingen</t>
  </si>
  <si>
    <t>Uur projectmanagement per jaar</t>
  </si>
  <si>
    <t>uur voor kostenverhaalgebied &lt; 1 ha</t>
  </si>
  <si>
    <t>uur voor kostenverhaalgebied tussen 1 ha en 5 ha</t>
  </si>
  <si>
    <t>uur voor kostenverhaalgebied tussen 5 ha en 15 ha</t>
  </si>
  <si>
    <t>uur voor kostenverhaalgebied tussen 15 ha en 50 ha</t>
  </si>
  <si>
    <t>uur voor kostenverhaalgebied tussen 50 ha en 100 ha</t>
  </si>
  <si>
    <t>uur voor kostenverhaalgebied meer dan 100 ha</t>
  </si>
  <si>
    <t xml:space="preserve">10. Staffel financieel management uur per jaar voor de algemene en financiele verantwoordingen </t>
  </si>
  <si>
    <t>Uur planeconomie per jaar</t>
  </si>
  <si>
    <t>uur voor kostenverhaalgebied tussen 50 ha en 120 ha</t>
  </si>
  <si>
    <t>uur voor kostenverhaalgebied meer dan 120 ha</t>
  </si>
  <si>
    <t>11. Hulptabel ophogen/voorbelasten</t>
  </si>
  <si>
    <r>
      <t>Uitgangspunt: 10 ha en 1 m</t>
    </r>
    <r>
      <rPr>
        <sz val="11"/>
        <color theme="1"/>
        <rFont val="Aptos Narrow"/>
        <family val="2"/>
      </rPr>
      <t>¹</t>
    </r>
    <r>
      <rPr>
        <sz val="11"/>
        <color theme="1"/>
        <rFont val="Verdana"/>
        <family val="2"/>
      </rPr>
      <t xml:space="preserve"> ophogen</t>
    </r>
  </si>
  <si>
    <t>is afhankelijk van grootte werk, naarmate werk groter wordt nemen kosten niet lineair toe, basisprijs wel afhankelijk van integraal of partieel en aantal fases</t>
  </si>
  <si>
    <t>is afhankelijk van grootte werk, naarmate werk groter wordt nemen kosten niet lineair toe (zie tabel bij bestek)</t>
  </si>
  <si>
    <t>hulptabel curve grootte werk</t>
  </si>
  <si>
    <t>hulptabel bestek</t>
  </si>
  <si>
    <t>hulptabel rapportage</t>
  </si>
  <si>
    <t>min oppervlak</t>
  </si>
  <si>
    <t>max oppervlak</t>
  </si>
  <si>
    <t>percentage</t>
  </si>
  <si>
    <t>minimaal</t>
  </si>
  <si>
    <t>maximaal</t>
  </si>
  <si>
    <t>per ha</t>
  </si>
  <si>
    <t>per ha per jaar zettingstijd</t>
  </si>
  <si>
    <t>1/2 dag per week, gedurende aanbrengtijd, is dus afhankelijk van hoogte en groote werk</t>
  </si>
  <si>
    <t>Totaal basiskosten ophogen</t>
  </si>
  <si>
    <t>plangebied 10 ha en 1 m1 integraal ophogen</t>
  </si>
  <si>
    <t>Rekenkundige uitgangspunten</t>
  </si>
  <si>
    <t>Grootte van een fase</t>
  </si>
  <si>
    <t>Levering per as</t>
  </si>
  <si>
    <t>m3 per dag</t>
  </si>
  <si>
    <t>Uren per week directievoering</t>
  </si>
  <si>
    <t>Uren per week toezichthouden</t>
  </si>
  <si>
    <t>Indien partieel grootte plangebied</t>
  </si>
  <si>
    <t>N.v.t. bij organische gebiedsontwikkeling (0%)</t>
  </si>
  <si>
    <t>Opslag partieel</t>
  </si>
  <si>
    <t>als partiële ophoging dan opslag 50% voor bestek. N.v.t. bij organische gebiedsontwikkeling (0%)</t>
  </si>
  <si>
    <t>Plankosten ophogen</t>
  </si>
  <si>
    <t>Totaal plankosten ophogen</t>
  </si>
  <si>
    <t>12. Invloedsfactor 1 Ligging kostenverhaalsgebied</t>
  </si>
  <si>
    <t>Type locatie:</t>
  </si>
  <si>
    <t>Invloedsfactor</t>
  </si>
  <si>
    <t>Historische locatie</t>
  </si>
  <si>
    <t>Binnenstedelijke locatie</t>
  </si>
  <si>
    <t>Inbreidingslocatie</t>
  </si>
  <si>
    <t>Uitbreidingslocatie</t>
  </si>
  <si>
    <t>Uitleglocatie</t>
  </si>
  <si>
    <t>13. Invloedsfactor 2 Type opgave</t>
  </si>
  <si>
    <t>Type opgave:</t>
  </si>
  <si>
    <t>14. Invloedsfactor 3 Verwervingssituatie</t>
  </si>
  <si>
    <t>Aantal onteigeningen</t>
  </si>
  <si>
    <t>0 onteigeningen</t>
  </si>
  <si>
    <t>1 onteigening</t>
  </si>
  <si>
    <t>2 of meer onteigingen</t>
  </si>
  <si>
    <t>15. Invloedsfactor 4 Type programma</t>
  </si>
  <si>
    <t>Type programma</t>
  </si>
  <si>
    <t>Maximaal:</t>
  </si>
  <si>
    <t>Uitsluitend bedrijven</t>
  </si>
  <si>
    <t>Uitsluitend overige commerciële voorzieningen</t>
  </si>
  <si>
    <t>16. Invloedsfactor 5 Onderzoeken</t>
  </si>
  <si>
    <t>Onderzoeken</t>
  </si>
  <si>
    <t>Bodem sanering</t>
  </si>
  <si>
    <t>17. Invloedsfactor 6 Woon-werkmilieu</t>
  </si>
  <si>
    <t>Woning (equivalent) per ha</t>
  </si>
  <si>
    <t>aantal WEQ per ha &lt; 30</t>
  </si>
  <si>
    <t>aantal WEQ per ha tussen 30 en 40</t>
  </si>
  <si>
    <t>aantal WEQ per ha tussen 40 en 50</t>
  </si>
  <si>
    <t>aantal WEQ per ha tussen 50 en 60</t>
  </si>
  <si>
    <t>aantal WEQ per ha tussen 60 en 70</t>
  </si>
  <si>
    <t>aantal WEQ per ha tussen 70 en 80</t>
  </si>
  <si>
    <t>aantal WEQ per ha tussen 80 en 90</t>
  </si>
  <si>
    <t>aantal WEQ per ha tussen 90 en 100</t>
  </si>
  <si>
    <t>aantal WEQ per ha meer dan 100</t>
  </si>
  <si>
    <t>18. hulptabel opstellen scenario</t>
  </si>
  <si>
    <t>Wel een stedenbouwkundig plan</t>
  </si>
  <si>
    <t>uur voor opstellen scenario tbv het omgevingsplan</t>
  </si>
  <si>
    <t>uur voor kostenverhaalgebied &lt; 5 ha</t>
  </si>
  <si>
    <t>uur voor kostenverhaalgebied tussen 5 ha en 20  ha</t>
  </si>
  <si>
    <t>uur voor kostenverhaalgebied groter dan 20 ha</t>
  </si>
  <si>
    <t>Geen stedenbouwkundig plan</t>
  </si>
  <si>
    <t>Staffel</t>
  </si>
  <si>
    <t>1.1 OP</t>
  </si>
  <si>
    <t>1.2 SP</t>
  </si>
  <si>
    <t>1.3 BKP</t>
  </si>
  <si>
    <t>2.2 IP</t>
  </si>
  <si>
    <t>Programma tot</t>
  </si>
  <si>
    <t>Weken</t>
  </si>
  <si>
    <t>Discipline</t>
  </si>
  <si>
    <t>2.5 IP</t>
  </si>
  <si>
    <t>n.v.t.</t>
  </si>
  <si>
    <t>Landmeten/GIS</t>
  </si>
  <si>
    <t>5000&gt;</t>
  </si>
  <si>
    <t>Omvang Programma</t>
  </si>
  <si>
    <t>Aantal weken</t>
  </si>
  <si>
    <t>Tarieven excl btw</t>
  </si>
  <si>
    <t>€/uur</t>
  </si>
  <si>
    <t>Bestekschrijven/calculeren</t>
  </si>
  <si>
    <t>Civiel technische ontwerpen</t>
  </si>
  <si>
    <t>Civiel technisch projectleiden</t>
  </si>
  <si>
    <t>Civiel technisch tekenen</t>
  </si>
  <si>
    <t>Directievoeren</t>
  </si>
  <si>
    <t>Projectmanagementassistentie</t>
  </si>
  <si>
    <t>Ophogen/Voorbelasten tarieven</t>
  </si>
  <si>
    <t>Veldonderzoeken per ha.</t>
  </si>
  <si>
    <t>Monitoring per ha.</t>
  </si>
  <si>
    <t>Inmeting per ha.</t>
  </si>
  <si>
    <t>Minimum bedragen</t>
  </si>
  <si>
    <t>Minimum bedrag veldonderzoeken</t>
  </si>
  <si>
    <t>Minimum bedrag monitoring</t>
  </si>
  <si>
    <t>Minimum bedrag inmeting</t>
  </si>
  <si>
    <t>Optie</t>
  </si>
  <si>
    <t>Tekst</t>
  </si>
  <si>
    <t xml:space="preserve">Uitleg </t>
  </si>
  <si>
    <t>Bij integrale gebiedsontwikkeling liggen tijdvak en eindbeeld in het omgevingsplan vast</t>
  </si>
  <si>
    <t>Zonder tijdvak</t>
  </si>
  <si>
    <t>Bij organische gebiedsontwikkeling ontwikkelt een gebied kavelgewijs</t>
  </si>
  <si>
    <t>Leeg</t>
  </si>
  <si>
    <t>Selecteer een kostenverhaalslocatie</t>
  </si>
  <si>
    <t>Kostenverhaalsgebied waarvan meer dan 10% van het grondoppervlak met monumenten is bebouwd of waarvan de grondoppervlakte die is gelegen in een beschermd stads of dorpsgezicht, tezamen met de oppervlakte die behoort tot monumenten of archeologische monumenten meer dan 50% van de totale oppervlakte omvat</t>
  </si>
  <si>
    <t>Historische locatie: kostenverhaalsgebied waarvan meer dan 10% van het grondoppervlak met monumenten is bebouwd of waarvan de grondoppervlakte die is gelegen in een beschermd stads of dorpsgezicht, tezamen met de oppervlakte die behoort tot monumenten of archeologische monumenten meer dan 50% van de totale oppervlakte omvat</t>
  </si>
  <si>
    <t xml:space="preserve">Kostenverhaalsgebied, niet zijnde historisch gebied, binnen de bebouwde kom waarin &lt;70% van de gronden onbebouwd is. </t>
  </si>
  <si>
    <t xml:space="preserve">Binnenstedelijke locatie: kostenverhaalsgebied, niet zijnde historisch gebied, binnen de bebouwde kom waarin &lt;70% van de gronden onbebouwd is. </t>
  </si>
  <si>
    <t>Kostenverhaalsgebied, niet zijnde historisch gebied, binnen de bebouwde kom, waarin &gt; 70% van de gronden onbebouwd is.</t>
  </si>
  <si>
    <t>Inbreidingslocatie: kostenverhaalsgebied, niet zijnde historisch gebied, binnen de bebouwde kom, waarin &gt; 70% van de gronden onbebouwd is.</t>
  </si>
  <si>
    <t xml:space="preserve">Kostenverhaalsgebied, niet zijnde historisch gebied, buiten de bebouwde kom waarin &lt;70% van de gronden onbebouwd is waarbij kassen als onbebouwd beschouwd worden. </t>
  </si>
  <si>
    <t xml:space="preserve">Uitbreidingslocatie: kostenverhaalsgebied, niet zijnde historisch gebied, buiten de bebouwde kom waarin &lt;70% van de gronden onbebouwd is waarbij kassen als onbebouwd beschouwd worden. </t>
  </si>
  <si>
    <t>Kostenverhaalsgebied, niet zijnde historisch gebied, buiten de bebouwde kom waarin &gt; 70% van de gronden onbebouwd is waarbij kassen als onbebouwd beschouwd worden.</t>
  </si>
  <si>
    <t>Uitleglocatie: kostenverhaalsgebied, niet zijnde historisch gebied, buiten de bebouwde kom waarin &gt; 70% van de gronden onbebouwd is waarbij kassen als onbebouwd beschouwd worden.</t>
  </si>
  <si>
    <t>Selecteer keuze</t>
  </si>
  <si>
    <t>Ja</t>
  </si>
  <si>
    <t>Nee</t>
  </si>
  <si>
    <t>Indien hieronder 4 keer "[Selecteer keuze]" staat, komt dit doordat in de vragenlijst Cel E13 "Organische gebiedsontwikkeling" is geselecteerd</t>
  </si>
  <si>
    <t>Selecteer type plan</t>
  </si>
  <si>
    <t>Gemeente past het omgevingsplan aan om bouwactiviteiten mogelijk te maken</t>
  </si>
  <si>
    <t>Gemeente geeft een omgevingsvergunning af voor bouwactiviteiten die niet in overeenstemming zijn met het vigerende omgevingsplan.</t>
  </si>
  <si>
    <t>Rijk, provincie of waterschap neemt een projectbesluit waarmee activiteiten mogelijk worden gemaakt en waar ook bouwactiviteiten in kunnen zijn opgenomen.</t>
  </si>
  <si>
    <t>Ja, vanaf 75% van het bestaand openbaar gebied wordt herverkaveld</t>
  </si>
  <si>
    <t>19. Staffel looptijd proces opstellen producten planvorming</t>
  </si>
  <si>
    <t>20. Staffel uur per jaar voor de financiele verantwoording</t>
  </si>
  <si>
    <t>* looptijd SP wordt vermenigvuldigd met opslag SP in cel L104</t>
  </si>
  <si>
    <t xml:space="preserve">Wanneer de eigenaar zelf producten/activiteiten heeft uitgevoerd heeft de aanvrager van de beschikking </t>
  </si>
  <si>
    <t>recht op (maximale) aftrek van kosten, mits de gemeente akkoord heeft gegeven op het geleverde product (artikel 13.8 Or)</t>
  </si>
  <si>
    <t>Is het te wijzigen Omgevingsplan of nieuwe Omgevingsplan groter dan het kostenverhaalsgebied?</t>
  </si>
  <si>
    <t>Nee, het betreft geen herstructurerings/transformatie opgave</t>
  </si>
  <si>
    <t>Procentuele verdeling</t>
  </si>
  <si>
    <t>Rekenmodel behorende bij de Omgevingsregeling kostenverhaal plankosten</t>
  </si>
  <si>
    <t xml:space="preserve">Dit rekenmodel kan worden toegepast bij omgevingsplannen, projectbesluiten en omgevingsvergunningen voor buitenplanse omgevingsplanactiviteiten </t>
  </si>
  <si>
    <t>Model 2026 versie 1.4</t>
  </si>
  <si>
    <t>met en zonder tijdvak 2026-II</t>
  </si>
  <si>
    <t>Het rekenmodel bevat de nieuwe, geïndexeerde tarieven op basis van de Cao gemeenten vanaf 1 juli 2026 t/m 31 december 2026.</t>
  </si>
  <si>
    <t>Uurtarieven vanaf 1-7-2026 t/m 31-12-2026</t>
  </si>
  <si>
    <t>Ja, tot 25% van het bestaand openbaar gebied wordt herverkaveld</t>
  </si>
  <si>
    <t>Ja, 25% tot 50% van het bestaand openbaar gebied wordt herverkaveld</t>
  </si>
  <si>
    <t>Ja, 50% tot 75% van het bestaand openbaar gebied wordt herverkaveld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</si>
</sst>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44" formatCode="_ &quot;€&quot;\ * #,##0.00_ ;_ &quot;€&quot;\ * \-#,##0.00_ ;_ &quot;€&quot;\ * &quot;-&quot;??_ ;_ @_ "/>
    <numFmt numFmtId="43" formatCode="_ * #,##0.00_ ;_ * \-#,##0.00_ ;_ * &quot;-&quot;??_ ;_ @_ "/>
    <numFmt numFmtId="164" formatCode="_-&quot;€&quot;\ * #,##0.00_-;_-&quot;€&quot;\ * #,##0.00\-;_-&quot;€&quot;\ * &quot;-&quot;??_-;_-@_-"/>
    <numFmt numFmtId="165" formatCode="_-&quot;€&quot;\ * #,##0_-;_-&quot;€&quot;\ * #,##0\-;_-&quot;€&quot;\ * &quot;-&quot;??_-;_-@_-"/>
    <numFmt numFmtId="166" formatCode="&quot;€&quot;\ #,##0_-;[Red]&quot;€&quot;\ #,##0\-"/>
    <numFmt numFmtId="167" formatCode="_ &quot;€&quot;\ * #,##0_ ;_ &quot;€&quot;\ * \-#,##0_ ;_ &quot;€&quot;\ * &quot;-&quot;??_ ;_ @_ "/>
    <numFmt numFmtId="168" formatCode="_-* #,##0_-;_-* #,##0\-;_-* &quot;-&quot;??_-;_-@_-"/>
    <numFmt numFmtId="169" formatCode="_ * #,##0_ ;_ * \-#,##0_ ;_ * &quot;-&quot;??_ ;_ @_ "/>
    <numFmt numFmtId="170" formatCode="_-* #,##0.00_-;_-* #,##0.00\-;_-* &quot;-&quot;??_-;_-@_-"/>
    <numFmt numFmtId="171" formatCode="0.0"/>
    <numFmt numFmtId="172" formatCode="_-* #,##0.0_-;_-* #,##0.0\-;_-* &quot;-&quot;??_-;_-@_-"/>
    <numFmt numFmtId="173" formatCode="_ * #,##0.0_ ;_ * \-#,##0.0_ ;_ * &quot;-&quot;??_ ;_ @_ "/>
    <numFmt numFmtId="174" formatCode="0.0%"/>
    <numFmt numFmtId="175" formatCode="&quot;€&quot;\ #,##0"/>
  </numFmts>
  <fonts count="82" x14ac:knownFonts="1">
    <font>
      <sz val="11"/>
      <color theme="1"/>
      <name val="Aptos Narrow"/>
      <family val="2"/>
      <scheme val="minor"/>
    </font>
    <font>
      <sz val="11"/>
      <color theme="1"/>
      <name val="Aptos Narrow"/>
      <family val="2"/>
      <scheme val="minor"/>
    </font>
    <font>
      <b/>
      <sz val="20"/>
      <name val="Arial"/>
      <family val="2"/>
    </font>
    <font>
      <sz val="12"/>
      <color theme="1"/>
      <name val="Arial"/>
      <family val="2"/>
    </font>
    <font>
      <sz val="10"/>
      <name val="Arial"/>
      <family val="2"/>
    </font>
    <font>
      <sz val="9"/>
      <color rgb="FFFF0000"/>
      <name val="Arial"/>
      <family val="2"/>
    </font>
    <font>
      <sz val="9"/>
      <color indexed="10"/>
      <name val="Arial"/>
      <family val="2"/>
    </font>
    <font>
      <i/>
      <sz val="9"/>
      <name val="Arial"/>
      <family val="2"/>
    </font>
    <font>
      <sz val="9"/>
      <color rgb="FF002857"/>
      <name val="Verdana"/>
      <family val="2"/>
    </font>
    <font>
      <b/>
      <sz val="9"/>
      <name val="Arial"/>
      <family val="2"/>
    </font>
    <font>
      <sz val="9"/>
      <color theme="1"/>
      <name val="Aptos Narrow"/>
      <family val="2"/>
      <scheme val="minor"/>
    </font>
    <font>
      <sz val="9"/>
      <name val="Arial"/>
      <family val="2"/>
    </font>
    <font>
      <sz val="9"/>
      <color indexed="48"/>
      <name val="Arial"/>
      <family val="2"/>
    </font>
    <font>
      <b/>
      <sz val="9"/>
      <color indexed="48"/>
      <name val="Arial"/>
      <family val="2"/>
    </font>
    <font>
      <b/>
      <sz val="9"/>
      <color indexed="10"/>
      <name val="Arial"/>
      <family val="2"/>
    </font>
    <font>
      <i/>
      <sz val="9"/>
      <color indexed="10"/>
      <name val="Arial"/>
      <family val="2"/>
    </font>
    <font>
      <b/>
      <sz val="9"/>
      <color indexed="9"/>
      <name val="Verdana"/>
      <family val="2"/>
    </font>
    <font>
      <b/>
      <i/>
      <sz val="9"/>
      <name val="Arial"/>
      <family val="2"/>
    </font>
    <font>
      <b/>
      <sz val="9"/>
      <name val="Aptos Narrow"/>
      <family val="2"/>
      <scheme val="minor"/>
    </font>
    <font>
      <b/>
      <sz val="9"/>
      <color rgb="FF002857"/>
      <name val="Verdana"/>
      <family val="2"/>
    </font>
    <font>
      <sz val="9"/>
      <color rgb="FFFF0000"/>
      <name val="Verdana"/>
      <family val="2"/>
    </font>
    <font>
      <i/>
      <sz val="9"/>
      <color rgb="FFFF0000"/>
      <name val="Arial"/>
      <family val="2"/>
    </font>
    <font>
      <b/>
      <i/>
      <sz val="9"/>
      <color rgb="FFFF0000"/>
      <name val="Arial"/>
      <family val="2"/>
    </font>
    <font>
      <b/>
      <sz val="10"/>
      <color theme="0"/>
      <name val="Verdana"/>
      <family val="2"/>
    </font>
    <font>
      <sz val="11"/>
      <color theme="1"/>
      <name val="Arial"/>
      <family val="2"/>
    </font>
    <font>
      <sz val="10"/>
      <color indexed="12"/>
      <name val="Arial"/>
      <family val="2"/>
    </font>
    <font>
      <b/>
      <sz val="8"/>
      <color rgb="FFFF0000"/>
      <name val="Arial"/>
      <family val="2"/>
    </font>
    <font>
      <b/>
      <sz val="10"/>
      <name val="Arial"/>
      <family val="2"/>
    </font>
    <font>
      <b/>
      <sz val="14"/>
      <name val="Arial"/>
      <family val="2"/>
    </font>
    <font>
      <b/>
      <sz val="11"/>
      <name val="Arial"/>
      <family val="2"/>
    </font>
    <font>
      <sz val="10"/>
      <color theme="1"/>
      <name val="Arial"/>
      <family val="2"/>
    </font>
    <font>
      <b/>
      <i/>
      <sz val="10"/>
      <name val="Arial"/>
      <family val="2"/>
    </font>
    <font>
      <sz val="10"/>
      <color rgb="FFFF0000"/>
      <name val="Arial"/>
      <family val="2"/>
    </font>
    <font>
      <strike/>
      <sz val="10"/>
      <name val="Arial"/>
      <family val="2"/>
    </font>
    <font>
      <b/>
      <sz val="10"/>
      <color theme="1"/>
      <name val="Arial"/>
      <family val="2"/>
    </font>
    <font>
      <sz val="11"/>
      <name val="Arial"/>
      <family val="2"/>
    </font>
    <font>
      <b/>
      <sz val="12"/>
      <name val="Arial"/>
      <family val="2"/>
    </font>
    <font>
      <b/>
      <sz val="20"/>
      <color rgb="FFFF0000"/>
      <name val="Arial"/>
      <family val="2"/>
    </font>
    <font>
      <b/>
      <i/>
      <sz val="12"/>
      <name val="Arial"/>
      <family val="2"/>
    </font>
    <font>
      <b/>
      <sz val="10"/>
      <color rgb="FFFF0000"/>
      <name val="Arial"/>
      <family val="2"/>
    </font>
    <font>
      <i/>
      <sz val="10"/>
      <name val="Arial"/>
      <family val="2"/>
    </font>
    <font>
      <sz val="8"/>
      <name val="Arial"/>
      <family val="2"/>
    </font>
    <font>
      <strike/>
      <sz val="11"/>
      <color theme="1"/>
      <name val="Arial"/>
      <family val="2"/>
    </font>
    <font>
      <b/>
      <strike/>
      <sz val="10"/>
      <name val="Arial"/>
      <family val="2"/>
    </font>
    <font>
      <strike/>
      <sz val="10"/>
      <color theme="1"/>
      <name val="Arial"/>
      <family val="2"/>
    </font>
    <font>
      <b/>
      <strike/>
      <sz val="8"/>
      <color rgb="FFFF0000"/>
      <name val="Arial"/>
      <family val="2"/>
    </font>
    <font>
      <i/>
      <sz val="10"/>
      <color rgb="FFFF0000"/>
      <name val="Arial"/>
      <family val="2"/>
    </font>
    <font>
      <b/>
      <sz val="12"/>
      <color theme="1"/>
      <name val="Aptos Narrow"/>
      <family val="2"/>
      <scheme val="minor"/>
    </font>
    <font>
      <b/>
      <sz val="12"/>
      <color theme="0"/>
      <name val="Verdana"/>
      <family val="2"/>
    </font>
    <font>
      <b/>
      <sz val="10"/>
      <color indexed="57"/>
      <name val="Arial"/>
      <family val="2"/>
    </font>
    <font>
      <b/>
      <sz val="10"/>
      <color indexed="9"/>
      <name val="Verdana"/>
      <family val="2"/>
    </font>
    <font>
      <sz val="11"/>
      <color theme="1"/>
      <name val="Verdana"/>
      <family val="2"/>
    </font>
    <font>
      <b/>
      <sz val="10"/>
      <name val="Verdana"/>
      <family val="2"/>
    </font>
    <font>
      <sz val="10"/>
      <name val="Verdana"/>
      <family val="2"/>
    </font>
    <font>
      <b/>
      <sz val="10"/>
      <color indexed="57"/>
      <name val="Verdana"/>
      <family val="2"/>
    </font>
    <font>
      <sz val="10"/>
      <color theme="1"/>
      <name val="Verdana"/>
      <family val="2"/>
    </font>
    <font>
      <sz val="10"/>
      <color rgb="FFFF0000"/>
      <name val="Verdana"/>
      <family val="2"/>
    </font>
    <font>
      <strike/>
      <sz val="10"/>
      <name val="Verdana"/>
      <family val="2"/>
    </font>
    <font>
      <sz val="9"/>
      <color theme="1"/>
      <name val="Verdana"/>
      <family val="2"/>
    </font>
    <font>
      <b/>
      <sz val="10"/>
      <color theme="1"/>
      <name val="Verdana"/>
      <family val="2"/>
    </font>
    <font>
      <b/>
      <i/>
      <sz val="12"/>
      <color rgb="FFFFC000"/>
      <name val="Arial"/>
      <family val="2"/>
    </font>
    <font>
      <sz val="11"/>
      <color theme="1"/>
      <name val="Aptos Narrow"/>
      <family val="2"/>
    </font>
    <font>
      <b/>
      <sz val="11"/>
      <color theme="1"/>
      <name val="Verdana"/>
      <family val="2"/>
    </font>
    <font>
      <sz val="10"/>
      <color theme="1"/>
      <name val="Aptos Narrow"/>
      <family val="2"/>
      <scheme val="minor"/>
    </font>
    <font>
      <b/>
      <sz val="11"/>
      <color theme="1"/>
      <name val="Aptos Narrow"/>
      <family val="2"/>
      <scheme val="minor"/>
    </font>
    <font>
      <sz val="11"/>
      <color rgb="FFFF0000"/>
      <name val="Verdana"/>
      <family val="2"/>
    </font>
    <font>
      <b/>
      <sz val="10"/>
      <color theme="0"/>
      <name val="Arial"/>
      <family val="2"/>
    </font>
    <font>
      <sz val="10"/>
      <color indexed="48"/>
      <name val="Arial"/>
      <family val="2"/>
    </font>
    <font>
      <b/>
      <sz val="12"/>
      <color indexed="48"/>
      <name val="Arial"/>
      <family val="2"/>
    </font>
    <font>
      <b/>
      <sz val="10"/>
      <color indexed="48"/>
      <name val="Arial"/>
      <family val="2"/>
    </font>
    <font>
      <sz val="9"/>
      <color theme="1"/>
      <name val="Arial"/>
      <family val="2"/>
    </font>
    <font>
      <i/>
      <sz val="10"/>
      <color theme="1"/>
      <name val="Arial"/>
      <family val="2"/>
    </font>
    <font>
      <b/>
      <sz val="22"/>
      <color theme="0"/>
      <name val="Verdana"/>
      <family val="2"/>
    </font>
    <font>
      <sz val="11"/>
      <name val="Aptos Narrow"/>
      <family val="2"/>
      <scheme val="minor"/>
    </font>
    <font>
      <sz val="9"/>
      <name val="Verdana"/>
      <family val="2"/>
    </font>
    <font>
      <b/>
      <i/>
      <sz val="10"/>
      <color theme="0" tint="-0.34998626667073579"/>
      <name val="Arial"/>
      <family val="2"/>
    </font>
    <font>
      <sz val="11"/>
      <color rgb="FFFF0000"/>
      <name val="Aptos Narrow"/>
      <family val="2"/>
      <scheme val="minor"/>
    </font>
    <font>
      <sz val="11"/>
      <color rgb="FFFF0000"/>
      <name val="Arial"/>
      <family val="2"/>
    </font>
    <font>
      <b/>
      <sz val="9"/>
      <color theme="1"/>
      <name val="Arial"/>
      <family val="2"/>
    </font>
    <font>
      <sz val="14"/>
      <color rgb="FF000000"/>
      <name val="Arial"/>
      <family val="2"/>
    </font>
    <font>
      <b/>
      <sz val="9"/>
      <color rgb="FFFF0000"/>
      <name val="Verdana"/>
      <family val="2"/>
    </font>
    <font>
      <sz val="14"/>
      <color theme="1"/>
      <name val="Arial"/>
      <family val="2"/>
    </font>
  </fonts>
  <fills count="14">
    <fill>
      <patternFill patternType="none"/>
    </fill>
    <fill>
      <patternFill patternType="gray125"/>
    </fill>
    <fill>
      <patternFill patternType="solid">
        <fgColor theme="0"/>
        <bgColor indexed="64"/>
      </patternFill>
    </fill>
    <fill>
      <patternFill patternType="solid">
        <fgColor rgb="FF002857"/>
        <bgColor indexed="64"/>
      </patternFill>
    </fill>
    <fill>
      <patternFill patternType="solid">
        <fgColor rgb="FFDCE6F1"/>
        <bgColor indexed="64"/>
      </patternFill>
    </fill>
    <fill>
      <patternFill patternType="solid">
        <fgColor theme="0" tint="-4.9989318521683403E-2"/>
        <bgColor indexed="64"/>
      </patternFill>
    </fill>
    <fill>
      <patternFill patternType="solid">
        <fgColor rgb="FF00B0F0"/>
        <bgColor indexed="64"/>
      </patternFill>
    </fill>
    <fill>
      <patternFill patternType="solid">
        <fgColor indexed="9"/>
        <bgColor indexed="64"/>
      </patternFill>
    </fill>
    <fill>
      <patternFill patternType="solid">
        <fgColor rgb="FFF101BE"/>
        <bgColor indexed="64"/>
      </patternFill>
    </fill>
    <fill>
      <patternFill patternType="solid">
        <fgColor indexed="13"/>
        <bgColor indexed="64"/>
      </patternFill>
    </fill>
    <fill>
      <patternFill patternType="solid">
        <fgColor indexed="22"/>
        <bgColor indexed="64"/>
      </patternFill>
    </fill>
    <fill>
      <patternFill patternType="solid">
        <fgColor rgb="FF00A1E1"/>
        <bgColor indexed="64"/>
      </patternFill>
    </fill>
    <fill>
      <patternFill patternType="solid">
        <fgColor rgb="FFFFC000"/>
        <bgColor indexed="64"/>
      </patternFill>
    </fill>
    <fill>
      <patternFill patternType="solid">
        <fgColor theme="2"/>
        <bgColor indexed="64"/>
      </patternFill>
    </fill>
  </fills>
  <borders count="52">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bottom/>
      <diagonal/>
    </border>
    <border>
      <left/>
      <right/>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right style="medium">
        <color indexed="64"/>
      </right>
      <top style="thin">
        <color indexed="64"/>
      </top>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bottom style="medium">
        <color indexed="64"/>
      </bottom>
      <diagonal/>
    </border>
    <border>
      <left/>
      <right style="thin">
        <color indexed="64"/>
      </right>
      <top style="thin">
        <color indexed="64"/>
      </top>
      <bottom/>
      <diagonal/>
    </border>
    <border>
      <left/>
      <right style="thin">
        <color indexed="64"/>
      </right>
      <top/>
      <bottom style="thin">
        <color indexed="64"/>
      </bottom>
      <diagonal/>
    </border>
    <border>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bottom/>
      <diagonal/>
    </border>
    <border>
      <left style="medium">
        <color indexed="64"/>
      </left>
      <right/>
      <top/>
      <bottom style="thin">
        <color indexed="64"/>
      </bottom>
      <diagonal/>
    </border>
    <border>
      <left style="thin">
        <color indexed="64"/>
      </left>
      <right style="thin">
        <color indexed="64"/>
      </right>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double">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top style="medium">
        <color indexed="64"/>
      </top>
      <bottom/>
      <diagonal/>
    </border>
    <border>
      <left style="thin">
        <color indexed="64"/>
      </left>
      <right/>
      <top/>
      <bottom style="medium">
        <color indexed="64"/>
      </bottom>
      <diagonal/>
    </border>
    <border>
      <left style="thin">
        <color rgb="FFFF0000"/>
      </left>
      <right style="thin">
        <color rgb="FFFF0000"/>
      </right>
      <top style="thin">
        <color rgb="FFFF0000"/>
      </top>
      <bottom/>
      <diagonal/>
    </border>
    <border>
      <left style="thin">
        <color rgb="FFFF0000"/>
      </left>
      <right style="thin">
        <color rgb="FFFF0000"/>
      </right>
      <top/>
      <bottom/>
      <diagonal/>
    </border>
    <border>
      <left style="thin">
        <color rgb="FFFF0000"/>
      </left>
      <right style="thin">
        <color rgb="FFFF0000"/>
      </right>
      <top/>
      <bottom style="thin">
        <color rgb="FFFF0000"/>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s>
  <cellStyleXfs count="6">
    <xf numFmtId="0" fontId="0" fillId="0" borderId="0"/>
    <xf numFmtId="9" fontId="1" fillId="0" borderId="0" applyFont="0" applyFill="0" applyBorder="0" applyAlignment="0" applyProtection="0"/>
    <xf numFmtId="164" fontId="4" fillId="0" borderId="0" applyFont="0" applyFill="0" applyBorder="0" applyAlignment="0" applyProtection="0"/>
    <xf numFmtId="0" fontId="4" fillId="0" borderId="0"/>
    <xf numFmtId="43" fontId="1" fillId="0" borderId="0" applyFont="0" applyFill="0" applyBorder="0" applyAlignment="0" applyProtection="0"/>
    <xf numFmtId="44" fontId="1" fillId="0" borderId="0" applyFont="0" applyFill="0" applyBorder="0" applyAlignment="0" applyProtection="0"/>
  </cellStyleXfs>
  <cellXfs count="719">
    <xf numFmtId="0" fontId="0" fillId="0" borderId="0" xfId="0"/>
    <xf numFmtId="0" fontId="0" fillId="2" borderId="0" xfId="0" applyFill="1"/>
    <xf numFmtId="0" fontId="0" fillId="2" borderId="1" xfId="0" applyFill="1" applyBorder="1"/>
    <xf numFmtId="0" fontId="0" fillId="2" borderId="2" xfId="0" applyFill="1" applyBorder="1"/>
    <xf numFmtId="0" fontId="0" fillId="2" borderId="3" xfId="0" applyFill="1" applyBorder="1"/>
    <xf numFmtId="0" fontId="0" fillId="2" borderId="4" xfId="0" applyFill="1" applyBorder="1"/>
    <xf numFmtId="0" fontId="0" fillId="2" borderId="5" xfId="0" applyFill="1" applyBorder="1"/>
    <xf numFmtId="0" fontId="2" fillId="2" borderId="0" xfId="0" applyFont="1" applyFill="1"/>
    <xf numFmtId="0" fontId="3" fillId="2" borderId="0" xfId="0" applyFont="1" applyFill="1"/>
    <xf numFmtId="0" fontId="0" fillId="2" borderId="6" xfId="0" applyFill="1" applyBorder="1"/>
    <xf numFmtId="0" fontId="0" fillId="2" borderId="7" xfId="0" applyFill="1" applyBorder="1"/>
    <xf numFmtId="0" fontId="0" fillId="2" borderId="8" xfId="0" applyFill="1" applyBorder="1"/>
    <xf numFmtId="0" fontId="5" fillId="0" borderId="0" xfId="0" applyFont="1" applyAlignment="1" applyProtection="1">
      <alignment horizontal="left"/>
      <protection locked="0"/>
    </xf>
    <xf numFmtId="0" fontId="5" fillId="0" borderId="0" xfId="0" applyFont="1" applyAlignment="1" applyProtection="1">
      <alignment horizontal="center"/>
      <protection locked="0"/>
    </xf>
    <xf numFmtId="0" fontId="9" fillId="0" borderId="0" xfId="0" applyFont="1" applyAlignment="1" applyProtection="1">
      <alignment horizontal="center"/>
      <protection locked="0"/>
    </xf>
    <xf numFmtId="0" fontId="9" fillId="0" borderId="0" xfId="0" applyFont="1" applyAlignment="1" applyProtection="1">
      <alignment horizontal="right"/>
      <protection locked="0"/>
    </xf>
    <xf numFmtId="0" fontId="11" fillId="0" borderId="0" xfId="0" applyFont="1" applyAlignment="1" applyProtection="1">
      <alignment horizontal="left"/>
      <protection locked="0"/>
    </xf>
    <xf numFmtId="0" fontId="11" fillId="0" borderId="0" xfId="0" applyFont="1" applyAlignment="1" applyProtection="1">
      <alignment horizontal="right"/>
      <protection locked="0"/>
    </xf>
    <xf numFmtId="0" fontId="12" fillId="0" borderId="0" xfId="0" applyFont="1" applyAlignment="1" applyProtection="1">
      <alignment horizontal="right"/>
      <protection locked="0"/>
    </xf>
    <xf numFmtId="0" fontId="13" fillId="0" borderId="0" xfId="0" applyFont="1" applyAlignment="1" applyProtection="1">
      <alignment horizontal="center"/>
      <protection locked="0"/>
    </xf>
    <xf numFmtId="0" fontId="6" fillId="0" borderId="0" xfId="0" applyFont="1" applyAlignment="1" applyProtection="1">
      <alignment horizontal="left"/>
      <protection locked="0"/>
    </xf>
    <xf numFmtId="0" fontId="10" fillId="0" borderId="0" xfId="0" applyFont="1" applyAlignment="1" applyProtection="1">
      <alignment horizontal="left"/>
      <protection locked="0"/>
    </xf>
    <xf numFmtId="0" fontId="10" fillId="0" borderId="0" xfId="0" applyFont="1" applyProtection="1">
      <protection locked="0"/>
    </xf>
    <xf numFmtId="0" fontId="10" fillId="0" borderId="0" xfId="0" applyFont="1" applyAlignment="1" applyProtection="1">
      <alignment horizontal="center"/>
      <protection locked="0"/>
    </xf>
    <xf numFmtId="0" fontId="9" fillId="0" borderId="9" xfId="0" applyFont="1" applyBorder="1" applyAlignment="1" applyProtection="1">
      <alignment horizontal="right"/>
      <protection locked="0"/>
    </xf>
    <xf numFmtId="0" fontId="14" fillId="0" borderId="0" xfId="0" applyFont="1" applyAlignment="1" applyProtection="1">
      <alignment horizontal="left"/>
      <protection locked="0"/>
    </xf>
    <xf numFmtId="0" fontId="15" fillId="0" borderId="0" xfId="0" applyFont="1" applyAlignment="1" applyProtection="1">
      <alignment horizontal="left"/>
      <protection locked="0"/>
    </xf>
    <xf numFmtId="0" fontId="10" fillId="0" borderId="0" xfId="0" applyFont="1"/>
    <xf numFmtId="0" fontId="11" fillId="0" borderId="2" xfId="0" applyFont="1" applyBorder="1" applyAlignment="1">
      <alignment horizontal="left"/>
    </xf>
    <xf numFmtId="0" fontId="11" fillId="0" borderId="3" xfId="0" applyFont="1" applyBorder="1" applyAlignment="1">
      <alignment horizontal="left"/>
    </xf>
    <xf numFmtId="0" fontId="11" fillId="0" borderId="0" xfId="0" applyFont="1" applyAlignment="1">
      <alignment horizontal="left"/>
    </xf>
    <xf numFmtId="0" fontId="11" fillId="0" borderId="5" xfId="0" applyFont="1" applyBorder="1" applyAlignment="1">
      <alignment horizontal="left"/>
    </xf>
    <xf numFmtId="0" fontId="11" fillId="0" borderId="10" xfId="0" applyFont="1" applyBorder="1" applyAlignment="1">
      <alignment horizontal="left"/>
    </xf>
    <xf numFmtId="0" fontId="11" fillId="0" borderId="11" xfId="0" applyFont="1" applyBorder="1" applyAlignment="1">
      <alignment horizontal="left"/>
    </xf>
    <xf numFmtId="0" fontId="9" fillId="0" borderId="13" xfId="0" applyFont="1" applyBorder="1" applyAlignment="1">
      <alignment horizontal="left"/>
    </xf>
    <xf numFmtId="0" fontId="9" fillId="0" borderId="15" xfId="0" applyFont="1" applyBorder="1" applyAlignment="1">
      <alignment horizontal="left"/>
    </xf>
    <xf numFmtId="0" fontId="7" fillId="0" borderId="0" xfId="0" applyFont="1" applyAlignment="1" applyProtection="1">
      <alignment horizontal="left"/>
      <protection locked="0"/>
    </xf>
    <xf numFmtId="0" fontId="11" fillId="0" borderId="5" xfId="0" applyFont="1" applyBorder="1" applyAlignment="1" applyProtection="1">
      <alignment horizontal="left"/>
      <protection locked="0"/>
    </xf>
    <xf numFmtId="0" fontId="18" fillId="0" borderId="0" xfId="0" applyFont="1" applyProtection="1">
      <protection locked="0"/>
    </xf>
    <xf numFmtId="0" fontId="11" fillId="0" borderId="13" xfId="0" applyFont="1" applyBorder="1" applyAlignment="1" applyProtection="1">
      <alignment horizontal="left"/>
      <protection locked="0"/>
    </xf>
    <xf numFmtId="0" fontId="11" fillId="0" borderId="15" xfId="0" applyFont="1" applyBorder="1" applyAlignment="1" applyProtection="1">
      <alignment horizontal="left"/>
      <protection locked="0"/>
    </xf>
    <xf numFmtId="0" fontId="11" fillId="0" borderId="10" xfId="0" applyFont="1" applyBorder="1" applyAlignment="1" applyProtection="1">
      <alignment horizontal="left"/>
      <protection locked="0"/>
    </xf>
    <xf numFmtId="0" fontId="11" fillId="0" borderId="11" xfId="0" applyFont="1" applyBorder="1" applyAlignment="1" applyProtection="1">
      <alignment horizontal="left"/>
      <protection locked="0"/>
    </xf>
    <xf numFmtId="0" fontId="11" fillId="0" borderId="0" xfId="0" applyFont="1" applyAlignment="1" applyProtection="1">
      <alignment horizontal="center"/>
      <protection locked="0"/>
    </xf>
    <xf numFmtId="0" fontId="11" fillId="0" borderId="5" xfId="0" applyFont="1" applyBorder="1" applyAlignment="1" applyProtection="1">
      <alignment horizontal="center"/>
      <protection locked="0"/>
    </xf>
    <xf numFmtId="0" fontId="9" fillId="0" borderId="0" xfId="0" applyFont="1" applyAlignment="1" applyProtection="1">
      <alignment horizontal="left"/>
      <protection locked="0"/>
    </xf>
    <xf numFmtId="0" fontId="9" fillId="0" borderId="5" xfId="0" applyFont="1" applyBorder="1" applyAlignment="1" applyProtection="1">
      <alignment horizontal="left"/>
      <protection locked="0"/>
    </xf>
    <xf numFmtId="0" fontId="11" fillId="0" borderId="5" xfId="0" applyFont="1" applyBorder="1" applyAlignment="1" applyProtection="1">
      <alignment horizontal="right"/>
      <protection locked="0"/>
    </xf>
    <xf numFmtId="9" fontId="11" fillId="0" borderId="0" xfId="1" applyFont="1" applyFill="1" applyBorder="1" applyAlignment="1" applyProtection="1">
      <alignment horizontal="right"/>
      <protection locked="0"/>
    </xf>
    <xf numFmtId="9" fontId="11" fillId="0" borderId="5" xfId="1" applyFont="1" applyFill="1" applyBorder="1" applyAlignment="1" applyProtection="1">
      <alignment horizontal="right"/>
      <protection locked="0"/>
    </xf>
    <xf numFmtId="0" fontId="9" fillId="0" borderId="5" xfId="0" applyFont="1" applyBorder="1" applyAlignment="1" applyProtection="1">
      <alignment horizontal="center"/>
      <protection locked="0"/>
    </xf>
    <xf numFmtId="0" fontId="11" fillId="0" borderId="13" xfId="0" applyFont="1" applyBorder="1" applyAlignment="1" applyProtection="1">
      <alignment horizontal="center"/>
      <protection locked="0"/>
    </xf>
    <xf numFmtId="0" fontId="11" fillId="0" borderId="15" xfId="0" applyFont="1" applyBorder="1" applyAlignment="1" applyProtection="1">
      <alignment horizontal="center"/>
      <protection locked="0"/>
    </xf>
    <xf numFmtId="0" fontId="11" fillId="0" borderId="0" xfId="0" applyFont="1" applyAlignment="1" applyProtection="1">
      <alignment horizontal="left" vertical="top"/>
      <protection locked="0"/>
    </xf>
    <xf numFmtId="0" fontId="11" fillId="0" borderId="5" xfId="0" applyFont="1" applyBorder="1" applyAlignment="1" applyProtection="1">
      <alignment horizontal="left" vertical="top"/>
      <protection locked="0"/>
    </xf>
    <xf numFmtId="0" fontId="8" fillId="4" borderId="9" xfId="0" applyFont="1" applyFill="1" applyBorder="1" applyAlignment="1">
      <alignment horizontal="right"/>
    </xf>
    <xf numFmtId="0" fontId="9" fillId="0" borderId="0" xfId="0" applyFont="1" applyAlignment="1">
      <alignment horizontal="right"/>
    </xf>
    <xf numFmtId="0" fontId="9" fillId="0" borderId="0" xfId="0" applyFont="1" applyAlignment="1">
      <alignment horizontal="left"/>
    </xf>
    <xf numFmtId="9" fontId="9" fillId="0" borderId="0" xfId="1" applyFont="1" applyFill="1" applyBorder="1" applyAlignment="1" applyProtection="1">
      <alignment horizontal="right"/>
      <protection locked="0"/>
    </xf>
    <xf numFmtId="0" fontId="9" fillId="0" borderId="0" xfId="0" applyFont="1" applyAlignment="1" applyProtection="1">
      <alignment horizontal="right" vertical="top"/>
      <protection locked="0"/>
    </xf>
    <xf numFmtId="0" fontId="8" fillId="4" borderId="4" xfId="0" applyFont="1" applyFill="1" applyBorder="1"/>
    <xf numFmtId="0" fontId="8" fillId="4" borderId="5" xfId="0" applyFont="1" applyFill="1" applyBorder="1"/>
    <xf numFmtId="0" fontId="8" fillId="0" borderId="4" xfId="0" applyFont="1" applyBorder="1"/>
    <xf numFmtId="0" fontId="8" fillId="0" borderId="5" xfId="0" applyFont="1" applyBorder="1"/>
    <xf numFmtId="0" fontId="8" fillId="4" borderId="6" xfId="0" applyFont="1" applyFill="1" applyBorder="1"/>
    <xf numFmtId="0" fontId="8" fillId="4" borderId="19" xfId="0" applyFont="1" applyFill="1" applyBorder="1" applyAlignment="1">
      <alignment horizontal="right"/>
    </xf>
    <xf numFmtId="0" fontId="8" fillId="4" borderId="7" xfId="0" applyFont="1" applyFill="1" applyBorder="1"/>
    <xf numFmtId="0" fontId="8" fillId="4" borderId="8" xfId="0" applyFont="1" applyFill="1" applyBorder="1"/>
    <xf numFmtId="0" fontId="14" fillId="0" borderId="0" xfId="0" applyFont="1" applyAlignment="1" applyProtection="1">
      <alignment horizontal="right"/>
      <protection locked="0"/>
    </xf>
    <xf numFmtId="0" fontId="8" fillId="4" borderId="0" xfId="0" applyFont="1" applyFill="1"/>
    <xf numFmtId="9" fontId="20" fillId="4" borderId="0" xfId="1" applyFont="1" applyFill="1" applyBorder="1" applyAlignment="1">
      <alignment horizontal="left"/>
    </xf>
    <xf numFmtId="0" fontId="23" fillId="6" borderId="23" xfId="0" applyFont="1" applyFill="1" applyBorder="1" applyAlignment="1">
      <alignment horizontal="center" vertical="center"/>
    </xf>
    <xf numFmtId="0" fontId="31" fillId="5" borderId="20" xfId="0" applyFont="1" applyFill="1" applyBorder="1" applyAlignment="1">
      <alignment horizontal="right"/>
    </xf>
    <xf numFmtId="0" fontId="4" fillId="5" borderId="17" xfId="0" applyFont="1" applyFill="1" applyBorder="1"/>
    <xf numFmtId="166" fontId="30" fillId="5" borderId="9" xfId="0" applyNumberFormat="1" applyFont="1" applyFill="1" applyBorder="1"/>
    <xf numFmtId="166" fontId="30" fillId="5" borderId="9" xfId="0" applyNumberFormat="1" applyFont="1" applyFill="1" applyBorder="1" applyAlignment="1">
      <alignment horizontal="right"/>
    </xf>
    <xf numFmtId="0" fontId="4" fillId="5" borderId="17" xfId="0" applyFont="1" applyFill="1" applyBorder="1" applyAlignment="1">
      <alignment vertical="center"/>
    </xf>
    <xf numFmtId="166" fontId="30" fillId="5" borderId="9" xfId="0" applyNumberFormat="1" applyFont="1" applyFill="1" applyBorder="1" applyAlignment="1">
      <alignment horizontal="right" vertical="center"/>
    </xf>
    <xf numFmtId="0" fontId="4" fillId="5" borderId="18" xfId="0" quotePrefix="1" applyFont="1" applyFill="1" applyBorder="1" applyAlignment="1">
      <alignment horizontal="left" vertical="center"/>
    </xf>
    <xf numFmtId="166" fontId="30" fillId="5" borderId="21" xfId="0" applyNumberFormat="1" applyFont="1" applyFill="1" applyBorder="1" applyAlignment="1">
      <alignment vertical="center"/>
    </xf>
    <xf numFmtId="0" fontId="4" fillId="5" borderId="18" xfId="0" applyFont="1" applyFill="1" applyBorder="1"/>
    <xf numFmtId="166" fontId="30" fillId="5" borderId="21" xfId="0" applyNumberFormat="1" applyFont="1" applyFill="1" applyBorder="1"/>
    <xf numFmtId="9" fontId="4" fillId="7" borderId="0" xfId="1" applyFont="1" applyFill="1" applyBorder="1" applyAlignment="1" applyProtection="1">
      <alignment horizontal="center"/>
    </xf>
    <xf numFmtId="0" fontId="27" fillId="5" borderId="16" xfId="0" applyFont="1" applyFill="1" applyBorder="1" applyAlignment="1">
      <alignment vertical="center"/>
    </xf>
    <xf numFmtId="0" fontId="47" fillId="0" borderId="0" xfId="0" applyFont="1"/>
    <xf numFmtId="0" fontId="31" fillId="5" borderId="4" xfId="0" applyFont="1" applyFill="1" applyBorder="1" applyAlignment="1">
      <alignment horizontal="center"/>
    </xf>
    <xf numFmtId="168" fontId="31" fillId="5" borderId="0" xfId="4" applyNumberFormat="1" applyFont="1" applyFill="1" applyBorder="1" applyAlignment="1" applyProtection="1">
      <alignment horizontal="center"/>
    </xf>
    <xf numFmtId="165" fontId="31" fillId="5" borderId="5" xfId="2" applyNumberFormat="1" applyFont="1" applyFill="1" applyBorder="1" applyAlignment="1" applyProtection="1">
      <alignment horizontal="center"/>
    </xf>
    <xf numFmtId="168" fontId="27" fillId="5" borderId="0" xfId="4" applyNumberFormat="1" applyFont="1" applyFill="1" applyBorder="1" applyAlignment="1" applyProtection="1">
      <alignment horizontal="center"/>
    </xf>
    <xf numFmtId="165" fontId="27" fillId="5" borderId="5" xfId="2" applyNumberFormat="1" applyFont="1" applyFill="1" applyBorder="1" applyAlignment="1" applyProtection="1">
      <alignment horizontal="center"/>
    </xf>
    <xf numFmtId="0" fontId="30" fillId="5" borderId="4" xfId="0" applyFont="1" applyFill="1" applyBorder="1"/>
    <xf numFmtId="168" fontId="4" fillId="5" borderId="0" xfId="4" applyNumberFormat="1" applyFont="1" applyFill="1" applyBorder="1" applyAlignment="1" applyProtection="1">
      <alignment horizontal="center"/>
    </xf>
    <xf numFmtId="165" fontId="4" fillId="5" borderId="5" xfId="2" applyNumberFormat="1" applyFont="1" applyFill="1" applyBorder="1" applyAlignment="1" applyProtection="1">
      <alignment horizontal="center"/>
    </xf>
    <xf numFmtId="0" fontId="24" fillId="5" borderId="4" xfId="0" applyFont="1" applyFill="1" applyBorder="1"/>
    <xf numFmtId="0" fontId="24" fillId="5" borderId="6" xfId="0" applyFont="1" applyFill="1" applyBorder="1"/>
    <xf numFmtId="0" fontId="38" fillId="5" borderId="7" xfId="0" applyFont="1" applyFill="1" applyBorder="1"/>
    <xf numFmtId="14" fontId="8" fillId="4" borderId="0" xfId="0" applyNumberFormat="1" applyFont="1" applyFill="1"/>
    <xf numFmtId="0" fontId="19" fillId="4" borderId="0" xfId="0" applyFont="1" applyFill="1" applyAlignment="1">
      <alignment horizontal="right"/>
    </xf>
    <xf numFmtId="0" fontId="19" fillId="4" borderId="0" xfId="0" applyFont="1" applyFill="1"/>
    <xf numFmtId="0" fontId="38" fillId="5" borderId="0" xfId="0" applyFont="1" applyFill="1" applyAlignment="1">
      <alignment horizontal="left" vertical="top"/>
    </xf>
    <xf numFmtId="0" fontId="4" fillId="5" borderId="0" xfId="0" applyFont="1" applyFill="1"/>
    <xf numFmtId="0" fontId="38" fillId="5" borderId="0" xfId="0" applyFont="1" applyFill="1"/>
    <xf numFmtId="9" fontId="24" fillId="2" borderId="0" xfId="1" applyFont="1" applyFill="1" applyAlignment="1" applyProtection="1">
      <alignment horizontal="center"/>
      <protection locked="0"/>
    </xf>
    <xf numFmtId="9" fontId="4" fillId="5" borderId="13" xfId="1" applyFont="1" applyFill="1" applyBorder="1" applyAlignment="1">
      <alignment horizontal="center"/>
    </xf>
    <xf numFmtId="9" fontId="30" fillId="5" borderId="0" xfId="1" applyFont="1" applyFill="1" applyBorder="1" applyAlignment="1">
      <alignment horizontal="center"/>
    </xf>
    <xf numFmtId="9" fontId="30" fillId="5" borderId="0" xfId="1" applyFont="1" applyFill="1" applyBorder="1" applyAlignment="1">
      <alignment horizontal="center" vertical="center"/>
    </xf>
    <xf numFmtId="9" fontId="30" fillId="5" borderId="10" xfId="1" applyFont="1" applyFill="1" applyBorder="1" applyAlignment="1">
      <alignment horizontal="center"/>
    </xf>
    <xf numFmtId="9" fontId="27" fillId="2" borderId="0" xfId="1" applyFont="1" applyFill="1" applyBorder="1"/>
    <xf numFmtId="9" fontId="27" fillId="2" borderId="0" xfId="1" applyFont="1" applyFill="1" applyBorder="1" applyAlignment="1">
      <alignment horizontal="center" vertical="center"/>
    </xf>
    <xf numFmtId="9" fontId="27" fillId="7" borderId="0" xfId="1" applyFont="1" applyFill="1" applyBorder="1" applyAlignment="1">
      <alignment horizontal="center"/>
    </xf>
    <xf numFmtId="9" fontId="30" fillId="7" borderId="0" xfId="1" applyFont="1" applyFill="1" applyBorder="1" applyAlignment="1">
      <alignment horizontal="center"/>
    </xf>
    <xf numFmtId="9" fontId="4" fillId="7" borderId="0" xfId="1" applyFont="1" applyFill="1" applyBorder="1" applyAlignment="1">
      <alignment horizontal="center"/>
    </xf>
    <xf numFmtId="9" fontId="33" fillId="7" borderId="0" xfId="1" applyFont="1" applyFill="1" applyBorder="1" applyAlignment="1">
      <alignment horizontal="center"/>
    </xf>
    <xf numFmtId="9" fontId="24" fillId="0" borderId="0" xfId="1" applyFont="1" applyAlignment="1" applyProtection="1">
      <alignment horizontal="center"/>
      <protection locked="0"/>
    </xf>
    <xf numFmtId="9" fontId="24" fillId="9" borderId="0" xfId="1" applyFont="1" applyFill="1" applyAlignment="1" applyProtection="1">
      <alignment horizontal="center"/>
      <protection locked="0"/>
    </xf>
    <xf numFmtId="0" fontId="24" fillId="2" borderId="0" xfId="0" applyFont="1" applyFill="1" applyProtection="1">
      <protection locked="0"/>
    </xf>
    <xf numFmtId="0" fontId="24" fillId="2" borderId="0" xfId="0" applyFont="1" applyFill="1" applyAlignment="1" applyProtection="1">
      <alignment horizontal="right"/>
      <protection locked="0"/>
    </xf>
    <xf numFmtId="0" fontId="27" fillId="2" borderId="0" xfId="0" applyFont="1" applyFill="1" applyProtection="1">
      <protection locked="0"/>
    </xf>
    <xf numFmtId="0" fontId="26" fillId="2" borderId="0" xfId="0" applyFont="1" applyFill="1" applyProtection="1">
      <protection locked="0"/>
    </xf>
    <xf numFmtId="0" fontId="24" fillId="2" borderId="0" xfId="0" applyFont="1" applyFill="1" applyAlignment="1" applyProtection="1">
      <alignment horizontal="center"/>
      <protection locked="0"/>
    </xf>
    <xf numFmtId="0" fontId="17" fillId="5" borderId="13" xfId="2" applyNumberFormat="1" applyFont="1" applyFill="1" applyBorder="1" applyProtection="1"/>
    <xf numFmtId="0" fontId="24" fillId="5" borderId="13" xfId="0" applyFont="1" applyFill="1" applyBorder="1" applyProtection="1">
      <protection locked="0"/>
    </xf>
    <xf numFmtId="0" fontId="24" fillId="2" borderId="0" xfId="0" applyFont="1" applyFill="1"/>
    <xf numFmtId="0" fontId="24" fillId="0" borderId="0" xfId="0" applyFont="1" applyProtection="1">
      <protection locked="0"/>
    </xf>
    <xf numFmtId="0" fontId="30" fillId="5" borderId="17" xfId="0" applyFont="1" applyFill="1" applyBorder="1" applyAlignment="1">
      <alignment horizontal="left" vertical="center"/>
    </xf>
    <xf numFmtId="0" fontId="7" fillId="5" borderId="0" xfId="2" applyNumberFormat="1" applyFont="1" applyFill="1" applyBorder="1" applyProtection="1"/>
    <xf numFmtId="0" fontId="24" fillId="5" borderId="0" xfId="0" applyFont="1" applyFill="1" applyProtection="1">
      <protection locked="0"/>
    </xf>
    <xf numFmtId="0" fontId="7" fillId="5" borderId="0" xfId="0" applyFont="1" applyFill="1" applyAlignment="1">
      <alignment vertical="top"/>
    </xf>
    <xf numFmtId="0" fontId="7" fillId="5" borderId="0" xfId="0" applyFont="1" applyFill="1" applyAlignment="1">
      <alignment vertical="center"/>
    </xf>
    <xf numFmtId="0" fontId="7" fillId="5" borderId="0" xfId="0" applyFont="1" applyFill="1" applyAlignment="1">
      <alignment vertical="center" wrapText="1"/>
    </xf>
    <xf numFmtId="0" fontId="30" fillId="5" borderId="18" xfId="0" applyFont="1" applyFill="1" applyBorder="1" applyAlignment="1">
      <alignment horizontal="left" vertical="center"/>
    </xf>
    <xf numFmtId="0" fontId="7" fillId="5" borderId="10" xfId="0" applyFont="1" applyFill="1" applyBorder="1"/>
    <xf numFmtId="0" fontId="24" fillId="5" borderId="10" xfId="0" applyFont="1" applyFill="1" applyBorder="1" applyProtection="1">
      <protection locked="0"/>
    </xf>
    <xf numFmtId="0" fontId="34" fillId="2" borderId="0" xfId="0" applyFont="1" applyFill="1"/>
    <xf numFmtId="0" fontId="29" fillId="2" borderId="0" xfId="0" applyFont="1" applyFill="1" applyAlignment="1">
      <alignment horizontal="center" vertical="center" wrapText="1"/>
    </xf>
    <xf numFmtId="0" fontId="35" fillId="2" borderId="0" xfId="0" applyFont="1" applyFill="1" applyAlignment="1" applyProtection="1">
      <alignment vertical="center"/>
      <protection locked="0"/>
    </xf>
    <xf numFmtId="0" fontId="36" fillId="2" borderId="0" xfId="0" applyFont="1" applyFill="1" applyAlignment="1" applyProtection="1">
      <alignment horizontal="right" vertical="center"/>
      <protection locked="0"/>
    </xf>
    <xf numFmtId="0" fontId="2" fillId="2" borderId="0" xfId="0" applyFont="1" applyFill="1" applyAlignment="1" applyProtection="1">
      <alignment horizontal="left" vertical="center"/>
      <protection locked="0"/>
    </xf>
    <xf numFmtId="0" fontId="26" fillId="2" borderId="0" xfId="0" applyFont="1" applyFill="1" applyAlignment="1" applyProtection="1">
      <alignment vertical="center"/>
      <protection locked="0"/>
    </xf>
    <xf numFmtId="0" fontId="29" fillId="2" borderId="0" xfId="0" applyFont="1" applyFill="1" applyAlignment="1">
      <alignment horizontal="center" vertical="center"/>
    </xf>
    <xf numFmtId="0" fontId="29" fillId="2" borderId="0" xfId="0" applyFont="1" applyFill="1" applyAlignment="1">
      <alignment horizontal="left" vertical="center"/>
    </xf>
    <xf numFmtId="0" fontId="35" fillId="0" borderId="0" xfId="0" applyFont="1" applyAlignment="1" applyProtection="1">
      <alignment vertical="center"/>
      <protection locked="0"/>
    </xf>
    <xf numFmtId="0" fontId="37" fillId="2" borderId="4" xfId="0" applyFont="1" applyFill="1" applyBorder="1" applyAlignment="1">
      <alignment horizontal="left" vertical="center"/>
    </xf>
    <xf numFmtId="0" fontId="28" fillId="2" borderId="0" xfId="0" applyFont="1" applyFill="1" applyAlignment="1" applyProtection="1">
      <alignment horizontal="left" vertical="center"/>
      <protection locked="0"/>
    </xf>
    <xf numFmtId="0" fontId="38" fillId="7" borderId="5" xfId="0" applyFont="1" applyFill="1" applyBorder="1"/>
    <xf numFmtId="0" fontId="27" fillId="2" borderId="0" xfId="0" applyFont="1" applyFill="1"/>
    <xf numFmtId="0" fontId="39" fillId="2" borderId="24" xfId="0" applyFont="1" applyFill="1" applyBorder="1" applyAlignment="1">
      <alignment horizontal="center" vertical="center"/>
    </xf>
    <xf numFmtId="0" fontId="27" fillId="2" borderId="0" xfId="0" applyFont="1" applyFill="1" applyAlignment="1">
      <alignment horizontal="center" vertical="center" wrapText="1"/>
    </xf>
    <xf numFmtId="0" fontId="29" fillId="2" borderId="9" xfId="0" applyFont="1" applyFill="1" applyBorder="1" applyAlignment="1">
      <alignment horizontal="center" vertical="center"/>
    </xf>
    <xf numFmtId="0" fontId="29" fillId="2" borderId="5" xfId="0" applyFont="1" applyFill="1" applyBorder="1" applyAlignment="1">
      <alignment horizontal="center" vertical="center"/>
    </xf>
    <xf numFmtId="0" fontId="38" fillId="7" borderId="4" xfId="0" applyFont="1" applyFill="1" applyBorder="1" applyAlignment="1">
      <alignment horizontal="right"/>
    </xf>
    <xf numFmtId="0" fontId="26" fillId="2" borderId="24" xfId="0" applyFont="1" applyFill="1" applyBorder="1"/>
    <xf numFmtId="0" fontId="27" fillId="7" borderId="0" xfId="0" applyFont="1" applyFill="1" applyAlignment="1">
      <alignment horizontal="center"/>
    </xf>
    <xf numFmtId="0" fontId="30" fillId="7" borderId="0" xfId="0" applyFont="1" applyFill="1" applyAlignment="1">
      <alignment horizontal="center"/>
    </xf>
    <xf numFmtId="0" fontId="30" fillId="7" borderId="9" xfId="0" applyFont="1" applyFill="1" applyBorder="1" applyAlignment="1">
      <alignment horizontal="center"/>
    </xf>
    <xf numFmtId="0" fontId="27" fillId="0" borderId="0" xfId="0" applyFont="1" applyProtection="1">
      <protection locked="0"/>
    </xf>
    <xf numFmtId="0" fontId="4" fillId="7" borderId="4" xfId="0" applyFont="1" applyFill="1" applyBorder="1" applyAlignment="1">
      <alignment horizontal="right"/>
    </xf>
    <xf numFmtId="0" fontId="4" fillId="7" borderId="0" xfId="0" applyFont="1" applyFill="1"/>
    <xf numFmtId="0" fontId="40" fillId="7" borderId="5" xfId="0" applyFont="1" applyFill="1" applyBorder="1"/>
    <xf numFmtId="0" fontId="26" fillId="0" borderId="24" xfId="0" applyFont="1" applyBorder="1" applyProtection="1">
      <protection locked="0"/>
    </xf>
    <xf numFmtId="0" fontId="27" fillId="2" borderId="0" xfId="0" applyFont="1" applyFill="1" applyAlignment="1">
      <alignment horizontal="center"/>
    </xf>
    <xf numFmtId="0" fontId="27" fillId="7" borderId="4" xfId="0" applyFont="1" applyFill="1" applyBorder="1" applyAlignment="1">
      <alignment horizontal="right"/>
    </xf>
    <xf numFmtId="0" fontId="31" fillId="7" borderId="0" xfId="0" applyFont="1" applyFill="1"/>
    <xf numFmtId="0" fontId="30" fillId="7" borderId="5" xfId="0" applyFont="1" applyFill="1" applyBorder="1"/>
    <xf numFmtId="0" fontId="41" fillId="2" borderId="24" xfId="0" applyFont="1" applyFill="1" applyBorder="1" applyAlignment="1">
      <alignment wrapText="1"/>
    </xf>
    <xf numFmtId="0" fontId="4" fillId="2" borderId="0" xfId="0" applyFont="1" applyFill="1" applyAlignment="1">
      <alignment horizontal="center"/>
    </xf>
    <xf numFmtId="0" fontId="41" fillId="2" borderId="24" xfId="0" applyFont="1" applyFill="1" applyBorder="1"/>
    <xf numFmtId="0" fontId="25" fillId="2" borderId="0" xfId="0" applyFont="1" applyFill="1" applyAlignment="1">
      <alignment horizontal="center"/>
    </xf>
    <xf numFmtId="0" fontId="4" fillId="7" borderId="0" xfId="0" applyFont="1" applyFill="1" applyAlignment="1">
      <alignment horizontal="center"/>
    </xf>
    <xf numFmtId="0" fontId="32" fillId="7" borderId="0" xfId="0" applyFont="1" applyFill="1"/>
    <xf numFmtId="0" fontId="4" fillId="7" borderId="5" xfId="0" applyFont="1" applyFill="1" applyBorder="1" applyAlignment="1">
      <alignment horizontal="left"/>
    </xf>
    <xf numFmtId="0" fontId="30" fillId="7" borderId="5" xfId="0" applyFont="1" applyFill="1" applyBorder="1" applyAlignment="1">
      <alignment wrapText="1"/>
    </xf>
    <xf numFmtId="0" fontId="41" fillId="2" borderId="24" xfId="0" applyFont="1" applyFill="1" applyBorder="1" applyAlignment="1">
      <alignment vertical="center" wrapText="1"/>
    </xf>
    <xf numFmtId="0" fontId="4" fillId="7" borderId="5" xfId="0" applyFont="1" applyFill="1" applyBorder="1"/>
    <xf numFmtId="0" fontId="42" fillId="2" borderId="0" xfId="0" applyFont="1" applyFill="1" applyProtection="1">
      <protection locked="0"/>
    </xf>
    <xf numFmtId="0" fontId="42" fillId="2" borderId="0" xfId="0" applyFont="1" applyFill="1"/>
    <xf numFmtId="0" fontId="33" fillId="7" borderId="9" xfId="0" applyFont="1" applyFill="1" applyBorder="1" applyAlignment="1">
      <alignment horizontal="center"/>
    </xf>
    <xf numFmtId="0" fontId="30" fillId="7" borderId="4" xfId="0" applyFont="1" applyFill="1" applyBorder="1" applyAlignment="1">
      <alignment horizontal="right"/>
    </xf>
    <xf numFmtId="0" fontId="4" fillId="2" borderId="0" xfId="4" applyNumberFormat="1" applyFont="1" applyFill="1" applyBorder="1" applyAlignment="1" applyProtection="1">
      <alignment horizontal="center"/>
    </xf>
    <xf numFmtId="0" fontId="30" fillId="7" borderId="0" xfId="0" applyFont="1" applyFill="1"/>
    <xf numFmtId="0" fontId="43" fillId="2" borderId="0" xfId="0" applyFont="1" applyFill="1" applyProtection="1">
      <protection locked="0"/>
    </xf>
    <xf numFmtId="0" fontId="44" fillId="7" borderId="4" xfId="0" applyFont="1" applyFill="1" applyBorder="1" applyAlignment="1">
      <alignment horizontal="right"/>
    </xf>
    <xf numFmtId="0" fontId="24" fillId="8" borderId="0" xfId="0" applyFont="1" applyFill="1" applyProtection="1">
      <protection locked="0"/>
    </xf>
    <xf numFmtId="0" fontId="24" fillId="8" borderId="22" xfId="0" applyFont="1" applyFill="1" applyBorder="1" applyProtection="1">
      <protection locked="0"/>
    </xf>
    <xf numFmtId="0" fontId="30" fillId="7" borderId="4" xfId="0" applyFont="1" applyFill="1" applyBorder="1"/>
    <xf numFmtId="0" fontId="38" fillId="7" borderId="12" xfId="0" applyFont="1" applyFill="1" applyBorder="1" applyAlignment="1">
      <alignment horizontal="right"/>
    </xf>
    <xf numFmtId="0" fontId="27" fillId="2" borderId="20" xfId="0" applyFont="1" applyFill="1" applyBorder="1"/>
    <xf numFmtId="0" fontId="31" fillId="7" borderId="5" xfId="0" applyFont="1" applyFill="1" applyBorder="1"/>
    <xf numFmtId="0" fontId="40" fillId="7" borderId="0" xfId="0" applyFont="1" applyFill="1"/>
    <xf numFmtId="0" fontId="46" fillId="7" borderId="0" xfId="0" applyFont="1" applyFill="1"/>
    <xf numFmtId="0" fontId="30" fillId="2" borderId="0" xfId="0" applyFont="1" applyFill="1"/>
    <xf numFmtId="0" fontId="30" fillId="7" borderId="0" xfId="0" applyFont="1" applyFill="1" applyAlignment="1">
      <alignment horizontal="right"/>
    </xf>
    <xf numFmtId="0" fontId="4" fillId="7" borderId="5" xfId="0" applyFont="1" applyFill="1" applyBorder="1" applyAlignment="1">
      <alignment horizontal="left" wrapText="1"/>
    </xf>
    <xf numFmtId="0" fontId="30" fillId="7" borderId="5" xfId="0" applyFont="1" applyFill="1" applyBorder="1" applyAlignment="1">
      <alignment horizontal="left"/>
    </xf>
    <xf numFmtId="0" fontId="4" fillId="7" borderId="5" xfId="0" applyFont="1" applyFill="1" applyBorder="1" applyAlignment="1">
      <alignment wrapText="1"/>
    </xf>
    <xf numFmtId="0" fontId="41" fillId="2" borderId="24" xfId="0" applyFont="1" applyFill="1" applyBorder="1" applyAlignment="1">
      <alignment vertical="top"/>
    </xf>
    <xf numFmtId="0" fontId="4" fillId="2" borderId="5" xfId="0" applyFont="1" applyFill="1" applyBorder="1"/>
    <xf numFmtId="0" fontId="4" fillId="7" borderId="0" xfId="2" applyNumberFormat="1" applyFont="1" applyFill="1" applyBorder="1" applyAlignment="1" applyProtection="1">
      <alignment horizontal="center"/>
    </xf>
    <xf numFmtId="0" fontId="32" fillId="7" borderId="0" xfId="0" applyFont="1" applyFill="1" applyAlignment="1">
      <alignment horizontal="center"/>
    </xf>
    <xf numFmtId="0" fontId="4" fillId="7" borderId="9" xfId="0" applyFont="1" applyFill="1" applyBorder="1" applyAlignment="1">
      <alignment horizontal="center"/>
    </xf>
    <xf numFmtId="0" fontId="4" fillId="7" borderId="0" xfId="4" applyNumberFormat="1" applyFont="1" applyFill="1" applyBorder="1" applyAlignment="1" applyProtection="1">
      <alignment horizontal="center"/>
    </xf>
    <xf numFmtId="0" fontId="27" fillId="0" borderId="4" xfId="0" applyFont="1" applyBorder="1" applyProtection="1">
      <protection locked="0"/>
    </xf>
    <xf numFmtId="0" fontId="24" fillId="0" borderId="0" xfId="0" applyFont="1" applyAlignment="1" applyProtection="1">
      <alignment horizontal="right"/>
      <protection locked="0"/>
    </xf>
    <xf numFmtId="0" fontId="26" fillId="0" borderId="0" xfId="0" applyFont="1" applyProtection="1">
      <protection locked="0"/>
    </xf>
    <xf numFmtId="0" fontId="24" fillId="0" borderId="0" xfId="0" applyFont="1" applyAlignment="1" applyProtection="1">
      <alignment horizontal="center"/>
      <protection locked="0"/>
    </xf>
    <xf numFmtId="0" fontId="24" fillId="7" borderId="0" xfId="0" applyFont="1" applyFill="1" applyAlignment="1" applyProtection="1">
      <alignment horizontal="center"/>
      <protection locked="0"/>
    </xf>
    <xf numFmtId="0" fontId="24" fillId="9" borderId="0" xfId="0" applyFont="1" applyFill="1" applyProtection="1">
      <protection locked="0"/>
    </xf>
    <xf numFmtId="0" fontId="24" fillId="10" borderId="0" xfId="0" applyFont="1" applyFill="1" applyProtection="1">
      <protection locked="0"/>
    </xf>
    <xf numFmtId="44" fontId="24" fillId="2" borderId="0" xfId="5" applyFont="1" applyFill="1" applyProtection="1">
      <protection locked="0"/>
    </xf>
    <xf numFmtId="44" fontId="24" fillId="5" borderId="20" xfId="5" applyFont="1" applyFill="1" applyBorder="1" applyProtection="1">
      <protection locked="0"/>
    </xf>
    <xf numFmtId="44" fontId="24" fillId="5" borderId="9" xfId="5" applyFont="1" applyFill="1" applyBorder="1" applyProtection="1">
      <protection locked="0"/>
    </xf>
    <xf numFmtId="44" fontId="7" fillId="5" borderId="9" xfId="5" applyFont="1" applyFill="1" applyBorder="1" applyAlignment="1">
      <alignment vertical="center" wrapText="1"/>
    </xf>
    <xf numFmtId="44" fontId="24" fillId="5" borderId="21" xfId="5" applyFont="1" applyFill="1" applyBorder="1" applyProtection="1">
      <protection locked="0"/>
    </xf>
    <xf numFmtId="44" fontId="29" fillId="2" borderId="0" xfId="5" applyFont="1" applyFill="1" applyAlignment="1">
      <alignment horizontal="left" vertical="center"/>
    </xf>
    <xf numFmtId="44" fontId="29" fillId="2" borderId="0" xfId="5" applyFont="1" applyFill="1" applyAlignment="1">
      <alignment horizontal="center" vertical="center"/>
    </xf>
    <xf numFmtId="44" fontId="29" fillId="2" borderId="17" xfId="5" applyFont="1" applyFill="1" applyBorder="1" applyAlignment="1">
      <alignment horizontal="right" vertical="center"/>
    </xf>
    <xf numFmtId="44" fontId="29" fillId="2" borderId="0" xfId="5" applyFont="1" applyFill="1" applyBorder="1" applyAlignment="1">
      <alignment horizontal="center" vertical="center"/>
    </xf>
    <xf numFmtId="44" fontId="30" fillId="7" borderId="17" xfId="5" applyFont="1" applyFill="1" applyBorder="1" applyProtection="1"/>
    <xf numFmtId="44" fontId="24" fillId="0" borderId="0" xfId="5" applyFont="1" applyProtection="1">
      <protection locked="0"/>
    </xf>
    <xf numFmtId="167" fontId="4" fillId="2" borderId="0" xfId="5" applyNumberFormat="1" applyFont="1" applyFill="1" applyProtection="1">
      <protection locked="0"/>
    </xf>
    <xf numFmtId="167" fontId="35" fillId="2" borderId="0" xfId="5" applyNumberFormat="1" applyFont="1" applyFill="1" applyAlignment="1" applyProtection="1">
      <alignment vertical="center"/>
      <protection locked="0"/>
    </xf>
    <xf numFmtId="167" fontId="27" fillId="2" borderId="9" xfId="5" applyNumberFormat="1" applyFont="1" applyFill="1" applyBorder="1" applyAlignment="1">
      <alignment horizontal="center" vertical="center"/>
    </xf>
    <xf numFmtId="167" fontId="27" fillId="7" borderId="9" xfId="5" applyNumberFormat="1" applyFont="1" applyFill="1" applyBorder="1" applyAlignment="1" applyProtection="1">
      <alignment horizontal="center"/>
    </xf>
    <xf numFmtId="167" fontId="4" fillId="7" borderId="9" xfId="5" applyNumberFormat="1" applyFont="1" applyFill="1" applyBorder="1" applyAlignment="1" applyProtection="1">
      <alignment horizontal="center"/>
    </xf>
    <xf numFmtId="167" fontId="4" fillId="2" borderId="9" xfId="5" applyNumberFormat="1" applyFont="1" applyFill="1" applyBorder="1" applyProtection="1"/>
    <xf numFmtId="167" fontId="44" fillId="7" borderId="9" xfId="5" applyNumberFormat="1" applyFont="1" applyFill="1" applyBorder="1" applyProtection="1"/>
    <xf numFmtId="167" fontId="30" fillId="7" borderId="9" xfId="5" applyNumberFormat="1" applyFont="1" applyFill="1" applyBorder="1" applyProtection="1"/>
    <xf numFmtId="167" fontId="30" fillId="7" borderId="9" xfId="5" applyNumberFormat="1" applyFont="1" applyFill="1" applyBorder="1" applyAlignment="1" applyProtection="1">
      <alignment horizontal="center"/>
    </xf>
    <xf numFmtId="167" fontId="24" fillId="7" borderId="9" xfId="5" applyNumberFormat="1" applyFont="1" applyFill="1" applyBorder="1" applyProtection="1"/>
    <xf numFmtId="167" fontId="24" fillId="2" borderId="0" xfId="5" applyNumberFormat="1" applyFont="1" applyFill="1" applyProtection="1">
      <protection locked="0"/>
    </xf>
    <xf numFmtId="167" fontId="24" fillId="0" borderId="0" xfId="5" applyNumberFormat="1" applyFont="1" applyProtection="1">
      <protection locked="0"/>
    </xf>
    <xf numFmtId="0" fontId="30" fillId="7" borderId="0" xfId="1" applyNumberFormat="1" applyFont="1" applyFill="1" applyBorder="1" applyAlignment="1">
      <alignment horizontal="center"/>
    </xf>
    <xf numFmtId="0" fontId="8" fillId="0" borderId="0" xfId="0" applyFont="1" applyAlignment="1">
      <alignment horizontal="right"/>
    </xf>
    <xf numFmtId="0" fontId="8" fillId="2" borderId="4" xfId="0" applyFont="1" applyFill="1" applyBorder="1"/>
    <xf numFmtId="0" fontId="19" fillId="2" borderId="0" xfId="0" applyFont="1" applyFill="1" applyAlignment="1">
      <alignment horizontal="right"/>
    </xf>
    <xf numFmtId="0" fontId="19" fillId="2" borderId="0" xfId="0" applyFont="1" applyFill="1"/>
    <xf numFmtId="0" fontId="8" fillId="2" borderId="5" xfId="0" applyFont="1" applyFill="1" applyBorder="1"/>
    <xf numFmtId="0" fontId="24" fillId="0" borderId="0" xfId="0" applyFont="1"/>
    <xf numFmtId="0" fontId="27" fillId="0" borderId="0" xfId="0" applyFont="1" applyAlignment="1">
      <alignment horizontal="right"/>
    </xf>
    <xf numFmtId="0" fontId="27" fillId="0" borderId="0" xfId="0" applyFont="1" applyAlignment="1">
      <alignment horizontal="center"/>
    </xf>
    <xf numFmtId="9" fontId="4" fillId="0" borderId="0" xfId="0" applyNumberFormat="1" applyFont="1"/>
    <xf numFmtId="0" fontId="30" fillId="0" borderId="0" xfId="0" applyFont="1"/>
    <xf numFmtId="168" fontId="4" fillId="0" borderId="0" xfId="4" applyNumberFormat="1" applyFont="1" applyFill="1" applyProtection="1"/>
    <xf numFmtId="165" fontId="4" fillId="0" borderId="0" xfId="2" applyNumberFormat="1" applyFont="1" applyFill="1" applyProtection="1"/>
    <xf numFmtId="0" fontId="48" fillId="11" borderId="0" xfId="3" applyFont="1" applyFill="1" applyAlignment="1">
      <alignment horizontal="left"/>
    </xf>
    <xf numFmtId="0" fontId="48" fillId="11" borderId="5" xfId="3" applyFont="1" applyFill="1" applyBorder="1" applyAlignment="1">
      <alignment horizontal="left"/>
    </xf>
    <xf numFmtId="0" fontId="8" fillId="4" borderId="0" xfId="0" applyFont="1" applyFill="1" applyAlignment="1">
      <alignment horizontal="right"/>
    </xf>
    <xf numFmtId="0" fontId="8" fillId="0" borderId="0" xfId="0" applyFont="1"/>
    <xf numFmtId="0" fontId="20" fillId="4" borderId="0" xfId="0" applyFont="1" applyFill="1"/>
    <xf numFmtId="0" fontId="48" fillId="11" borderId="1" xfId="3" applyFont="1" applyFill="1" applyBorder="1" applyAlignment="1">
      <alignment horizontal="left"/>
    </xf>
    <xf numFmtId="0" fontId="48" fillId="11" borderId="2" xfId="3" applyFont="1" applyFill="1" applyBorder="1" applyAlignment="1">
      <alignment horizontal="left"/>
    </xf>
    <xf numFmtId="0" fontId="48" fillId="11" borderId="3" xfId="3" applyFont="1" applyFill="1" applyBorder="1" applyAlignment="1">
      <alignment horizontal="left"/>
    </xf>
    <xf numFmtId="0" fontId="48" fillId="11" borderId="4" xfId="3" applyFont="1" applyFill="1" applyBorder="1" applyAlignment="1">
      <alignment horizontal="left"/>
    </xf>
    <xf numFmtId="0" fontId="48" fillId="11" borderId="6" xfId="3" applyFont="1" applyFill="1" applyBorder="1" applyAlignment="1">
      <alignment horizontal="left"/>
    </xf>
    <xf numFmtId="0" fontId="48" fillId="11" borderId="7" xfId="3" applyFont="1" applyFill="1" applyBorder="1" applyAlignment="1">
      <alignment horizontal="left"/>
    </xf>
    <xf numFmtId="0" fontId="48" fillId="11" borderId="8" xfId="3" applyFont="1" applyFill="1" applyBorder="1" applyAlignment="1">
      <alignment horizontal="left"/>
    </xf>
    <xf numFmtId="0" fontId="24" fillId="7" borderId="0" xfId="0" applyFont="1" applyFill="1"/>
    <xf numFmtId="167" fontId="49" fillId="2" borderId="0" xfId="5" applyNumberFormat="1" applyFont="1" applyFill="1" applyBorder="1"/>
    <xf numFmtId="168" fontId="27" fillId="7" borderId="0" xfId="4" applyNumberFormat="1" applyFont="1" applyFill="1" applyBorder="1"/>
    <xf numFmtId="9" fontId="49" fillId="7" borderId="0" xfId="1" applyFont="1" applyFill="1" applyBorder="1"/>
    <xf numFmtId="165" fontId="27" fillId="7" borderId="0" xfId="5" applyNumberFormat="1" applyFont="1" applyFill="1" applyBorder="1"/>
    <xf numFmtId="168" fontId="27" fillId="2" borderId="0" xfId="4" applyNumberFormat="1" applyFont="1" applyFill="1" applyBorder="1"/>
    <xf numFmtId="170" fontId="27" fillId="7" borderId="0" xfId="4" applyNumberFormat="1" applyFont="1" applyFill="1" applyBorder="1"/>
    <xf numFmtId="0" fontId="16" fillId="3" borderId="29" xfId="3" applyFont="1" applyFill="1" applyBorder="1" applyAlignment="1">
      <alignment horizontal="left"/>
    </xf>
    <xf numFmtId="0" fontId="16" fillId="3" borderId="30" xfId="3" applyFont="1" applyFill="1" applyBorder="1" applyAlignment="1">
      <alignment horizontal="left"/>
    </xf>
    <xf numFmtId="0" fontId="16" fillId="3" borderId="31" xfId="3" applyFont="1" applyFill="1" applyBorder="1" applyAlignment="1">
      <alignment horizontal="left"/>
    </xf>
    <xf numFmtId="0" fontId="16" fillId="3" borderId="30" xfId="3" applyFont="1" applyFill="1" applyBorder="1" applyAlignment="1">
      <alignment horizontal="right"/>
    </xf>
    <xf numFmtId="0" fontId="50" fillId="3" borderId="29" xfId="3" applyFont="1" applyFill="1" applyBorder="1" applyAlignment="1">
      <alignment horizontal="left"/>
    </xf>
    <xf numFmtId="0" fontId="51" fillId="7" borderId="0" xfId="0" applyFont="1" applyFill="1"/>
    <xf numFmtId="0" fontId="51" fillId="7" borderId="2" xfId="0" applyFont="1" applyFill="1" applyBorder="1"/>
    <xf numFmtId="0" fontId="51" fillId="7" borderId="5" xfId="0" applyFont="1" applyFill="1" applyBorder="1"/>
    <xf numFmtId="0" fontId="51" fillId="7" borderId="4" xfId="0" applyFont="1" applyFill="1" applyBorder="1"/>
    <xf numFmtId="0" fontId="52" fillId="2" borderId="4" xfId="0" applyFont="1" applyFill="1" applyBorder="1" applyAlignment="1">
      <alignment horizontal="left"/>
    </xf>
    <xf numFmtId="0" fontId="51" fillId="2" borderId="0" xfId="0" applyFont="1" applyFill="1"/>
    <xf numFmtId="0" fontId="51" fillId="2" borderId="5" xfId="0" applyFont="1" applyFill="1" applyBorder="1"/>
    <xf numFmtId="0" fontId="53" fillId="7" borderId="0" xfId="0" applyFont="1" applyFill="1"/>
    <xf numFmtId="168" fontId="52" fillId="7" borderId="0" xfId="4" applyNumberFormat="1" applyFont="1" applyFill="1" applyBorder="1"/>
    <xf numFmtId="0" fontId="53" fillId="7" borderId="0" xfId="0" quotePrefix="1" applyFont="1" applyFill="1" applyAlignment="1">
      <alignment horizontal="left"/>
    </xf>
    <xf numFmtId="9" fontId="54" fillId="7" borderId="0" xfId="1" applyFont="1" applyFill="1" applyBorder="1"/>
    <xf numFmtId="0" fontId="51" fillId="7" borderId="0" xfId="0" quotePrefix="1" applyFont="1" applyFill="1" applyAlignment="1">
      <alignment horizontal="left"/>
    </xf>
    <xf numFmtId="0" fontId="52" fillId="7" borderId="4" xfId="0" applyFont="1" applyFill="1" applyBorder="1"/>
    <xf numFmtId="165" fontId="52" fillId="7" borderId="0" xfId="5" applyNumberFormat="1" applyFont="1" applyFill="1" applyBorder="1"/>
    <xf numFmtId="9" fontId="51" fillId="7" borderId="0" xfId="1" applyFont="1" applyFill="1" applyBorder="1"/>
    <xf numFmtId="0" fontId="53" fillId="7" borderId="4" xfId="0" applyFont="1" applyFill="1" applyBorder="1"/>
    <xf numFmtId="170" fontId="52" fillId="7" borderId="0" xfId="4" applyNumberFormat="1" applyFont="1" applyFill="1" applyBorder="1"/>
    <xf numFmtId="0" fontId="55" fillId="7" borderId="0" xfId="0" applyFont="1" applyFill="1"/>
    <xf numFmtId="165" fontId="51" fillId="7" borderId="0" xfId="5" applyNumberFormat="1" applyFont="1" applyFill="1" applyBorder="1"/>
    <xf numFmtId="0" fontId="51" fillId="7" borderId="9" xfId="0" applyFont="1" applyFill="1" applyBorder="1"/>
    <xf numFmtId="169" fontId="52" fillId="7" borderId="0" xfId="4" applyNumberFormat="1" applyFont="1" applyFill="1" applyBorder="1"/>
    <xf numFmtId="0" fontId="55" fillId="7" borderId="10" xfId="0" quotePrefix="1" applyFont="1" applyFill="1" applyBorder="1" applyAlignment="1">
      <alignment horizontal="left"/>
    </xf>
    <xf numFmtId="0" fontId="51" fillId="7" borderId="10" xfId="0" applyFont="1" applyFill="1" applyBorder="1"/>
    <xf numFmtId="167" fontId="54" fillId="2" borderId="10" xfId="5" applyNumberFormat="1" applyFont="1" applyFill="1" applyBorder="1"/>
    <xf numFmtId="0" fontId="55" fillId="7" borderId="10" xfId="0" applyFont="1" applyFill="1" applyBorder="1"/>
    <xf numFmtId="0" fontId="51" fillId="7" borderId="21" xfId="0" applyFont="1" applyFill="1" applyBorder="1"/>
    <xf numFmtId="9" fontId="54" fillId="7" borderId="0" xfId="1" applyFont="1" applyFill="1" applyBorder="1" applyAlignment="1">
      <alignment horizontal="right"/>
    </xf>
    <xf numFmtId="43" fontId="52" fillId="7" borderId="0" xfId="4" applyFont="1" applyFill="1" applyBorder="1"/>
    <xf numFmtId="0" fontId="51" fillId="7" borderId="18" xfId="0" applyFont="1" applyFill="1" applyBorder="1"/>
    <xf numFmtId="165" fontId="52" fillId="2" borderId="0" xfId="5" applyNumberFormat="1" applyFont="1" applyFill="1" applyBorder="1"/>
    <xf numFmtId="165" fontId="52" fillId="7" borderId="10" xfId="5" applyNumberFormat="1" applyFont="1" applyFill="1" applyBorder="1"/>
    <xf numFmtId="0" fontId="51" fillId="7" borderId="11" xfId="0" applyFont="1" applyFill="1" applyBorder="1"/>
    <xf numFmtId="9" fontId="52" fillId="7" borderId="0" xfId="1" applyFont="1" applyFill="1" applyBorder="1" applyProtection="1"/>
    <xf numFmtId="0" fontId="55" fillId="7" borderId="4" xfId="0" applyFont="1" applyFill="1" applyBorder="1"/>
    <xf numFmtId="0" fontId="55" fillId="7" borderId="5" xfId="0" applyFont="1" applyFill="1" applyBorder="1"/>
    <xf numFmtId="9" fontId="55" fillId="7" borderId="0" xfId="1" applyFont="1" applyFill="1" applyBorder="1"/>
    <xf numFmtId="0" fontId="52" fillId="7" borderId="0" xfId="0" applyFont="1" applyFill="1"/>
    <xf numFmtId="0" fontId="52" fillId="7" borderId="5" xfId="0" applyFont="1" applyFill="1" applyBorder="1"/>
    <xf numFmtId="0" fontId="53" fillId="7" borderId="6" xfId="0" applyFont="1" applyFill="1" applyBorder="1"/>
    <xf numFmtId="0" fontId="55" fillId="7" borderId="7" xfId="0" applyFont="1" applyFill="1" applyBorder="1"/>
    <xf numFmtId="0" fontId="55" fillId="7" borderId="8" xfId="0" applyFont="1" applyFill="1" applyBorder="1"/>
    <xf numFmtId="0" fontId="56" fillId="7" borderId="4" xfId="0" applyFont="1" applyFill="1" applyBorder="1"/>
    <xf numFmtId="0" fontId="51" fillId="7" borderId="7" xfId="0" applyFont="1" applyFill="1" applyBorder="1"/>
    <xf numFmtId="0" fontId="51" fillId="7" borderId="8" xfId="0" applyFont="1" applyFill="1" applyBorder="1"/>
    <xf numFmtId="168" fontId="52" fillId="12" borderId="0" xfId="4" applyNumberFormat="1" applyFont="1" applyFill="1" applyBorder="1"/>
    <xf numFmtId="169" fontId="27" fillId="12" borderId="0" xfId="4" applyNumberFormat="1" applyFont="1" applyFill="1" applyBorder="1"/>
    <xf numFmtId="169" fontId="52" fillId="12" borderId="0" xfId="4" applyNumberFormat="1" applyFont="1" applyFill="1" applyBorder="1"/>
    <xf numFmtId="0" fontId="51" fillId="7" borderId="6" xfId="0" applyFont="1" applyFill="1" applyBorder="1"/>
    <xf numFmtId="0" fontId="52" fillId="0" borderId="0" xfId="0" applyFont="1"/>
    <xf numFmtId="0" fontId="59" fillId="7" borderId="0" xfId="0" applyFont="1" applyFill="1"/>
    <xf numFmtId="167" fontId="53" fillId="7" borderId="0" xfId="5" applyNumberFormat="1" applyFont="1" applyFill="1" applyBorder="1"/>
    <xf numFmtId="167" fontId="16" fillId="3" borderId="30" xfId="3" applyNumberFormat="1" applyFont="1" applyFill="1" applyBorder="1" applyAlignment="1">
      <alignment horizontal="left"/>
    </xf>
    <xf numFmtId="1" fontId="16" fillId="3" borderId="30" xfId="3" applyNumberFormat="1" applyFont="1" applyFill="1" applyBorder="1" applyAlignment="1">
      <alignment horizontal="right"/>
    </xf>
    <xf numFmtId="0" fontId="53" fillId="2" borderId="4" xfId="0" applyFont="1" applyFill="1" applyBorder="1" applyAlignment="1">
      <alignment horizontal="left"/>
    </xf>
    <xf numFmtId="0" fontId="58" fillId="0" borderId="25" xfId="0" applyFont="1" applyBorder="1"/>
    <xf numFmtId="165" fontId="16" fillId="3" borderId="30" xfId="3" applyNumberFormat="1" applyFont="1" applyFill="1" applyBorder="1" applyAlignment="1">
      <alignment horizontal="left"/>
    </xf>
    <xf numFmtId="9" fontId="4" fillId="2" borderId="1" xfId="1" applyFont="1" applyFill="1" applyBorder="1"/>
    <xf numFmtId="9" fontId="4" fillId="2" borderId="3" xfId="1" applyFont="1" applyFill="1" applyBorder="1"/>
    <xf numFmtId="0" fontId="4" fillId="2" borderId="27" xfId="0" applyFont="1" applyFill="1" applyBorder="1"/>
    <xf numFmtId="0" fontId="24" fillId="2" borderId="28" xfId="0" applyFont="1" applyFill="1" applyBorder="1"/>
    <xf numFmtId="0" fontId="30" fillId="2" borderId="12" xfId="0" applyFont="1" applyFill="1" applyBorder="1" applyAlignment="1">
      <alignment horizontal="center"/>
    </xf>
    <xf numFmtId="0" fontId="4" fillId="2" borderId="15" xfId="0" applyFont="1" applyFill="1" applyBorder="1"/>
    <xf numFmtId="9" fontId="30" fillId="2" borderId="5" xfId="1" applyFont="1" applyFill="1" applyBorder="1"/>
    <xf numFmtId="0" fontId="30" fillId="2" borderId="4" xfId="0" applyFont="1" applyFill="1" applyBorder="1"/>
    <xf numFmtId="0" fontId="30" fillId="2" borderId="5" xfId="0" applyFont="1" applyFill="1" applyBorder="1"/>
    <xf numFmtId="0" fontId="30" fillId="2" borderId="6" xfId="0" applyFont="1" applyFill="1" applyBorder="1"/>
    <xf numFmtId="2" fontId="30" fillId="2" borderId="8" xfId="0" applyNumberFormat="1" applyFont="1" applyFill="1" applyBorder="1"/>
    <xf numFmtId="9" fontId="30" fillId="13" borderId="4" xfId="1" applyFont="1" applyFill="1" applyBorder="1"/>
    <xf numFmtId="0" fontId="53" fillId="2" borderId="0" xfId="0" quotePrefix="1" applyFont="1" applyFill="1" applyAlignment="1">
      <alignment horizontal="left"/>
    </xf>
    <xf numFmtId="0" fontId="51" fillId="7" borderId="0" xfId="0" applyFont="1" applyFill="1" applyAlignment="1">
      <alignment horizontal="center"/>
    </xf>
    <xf numFmtId="2" fontId="54" fillId="7" borderId="0" xfId="0" applyNumberFormat="1" applyFont="1" applyFill="1" applyAlignment="1">
      <alignment horizontal="right"/>
    </xf>
    <xf numFmtId="0" fontId="53" fillId="0" borderId="0" xfId="0" applyFont="1"/>
    <xf numFmtId="0" fontId="53" fillId="2" borderId="0" xfId="0" applyFont="1" applyFill="1"/>
    <xf numFmtId="1" fontId="54" fillId="2" borderId="0" xfId="0" applyNumberFormat="1" applyFont="1" applyFill="1" applyAlignment="1">
      <alignment horizontal="left"/>
    </xf>
    <xf numFmtId="0" fontId="57" fillId="7" borderId="0" xfId="0" applyFont="1" applyFill="1"/>
    <xf numFmtId="2" fontId="54" fillId="7" borderId="0" xfId="0" applyNumberFormat="1" applyFont="1" applyFill="1"/>
    <xf numFmtId="167" fontId="52" fillId="7" borderId="0" xfId="0" applyNumberFormat="1" applyFont="1" applyFill="1"/>
    <xf numFmtId="3" fontId="52" fillId="7" borderId="0" xfId="0" applyNumberFormat="1" applyFont="1" applyFill="1"/>
    <xf numFmtId="1" fontId="52" fillId="12" borderId="0" xfId="0" applyNumberFormat="1" applyFont="1" applyFill="1"/>
    <xf numFmtId="0" fontId="56" fillId="2" borderId="0" xfId="0" applyFont="1" applyFill="1"/>
    <xf numFmtId="3" fontId="51" fillId="2" borderId="0" xfId="0" applyNumberFormat="1" applyFont="1" applyFill="1"/>
    <xf numFmtId="3" fontId="51" fillId="7" borderId="0" xfId="0" applyNumberFormat="1" applyFont="1" applyFill="1"/>
    <xf numFmtId="0" fontId="56" fillId="7" borderId="0" xfId="0" applyFont="1" applyFill="1"/>
    <xf numFmtId="167" fontId="51" fillId="7" borderId="0" xfId="0" applyNumberFormat="1" applyFont="1" applyFill="1"/>
    <xf numFmtId="0" fontId="52" fillId="2" borderId="0" xfId="0" applyFont="1" applyFill="1"/>
    <xf numFmtId="1" fontId="52" fillId="7" borderId="0" xfId="0" applyNumberFormat="1" applyFont="1" applyFill="1"/>
    <xf numFmtId="1" fontId="53" fillId="7" borderId="0" xfId="0" applyNumberFormat="1" applyFont="1" applyFill="1"/>
    <xf numFmtId="168" fontId="52" fillId="7" borderId="0" xfId="0" applyNumberFormat="1" applyFont="1" applyFill="1"/>
    <xf numFmtId="2" fontId="27" fillId="2" borderId="0" xfId="0" applyNumberFormat="1" applyFont="1" applyFill="1" applyAlignment="1">
      <alignment horizontal="left"/>
    </xf>
    <xf numFmtId="2" fontId="59" fillId="7" borderId="0" xfId="0" applyNumberFormat="1" applyFont="1" applyFill="1"/>
    <xf numFmtId="165" fontId="27" fillId="7" borderId="17" xfId="2" applyNumberFormat="1" applyFont="1" applyFill="1" applyBorder="1" applyProtection="1"/>
    <xf numFmtId="165" fontId="27" fillId="7" borderId="0" xfId="2" applyNumberFormat="1" applyFont="1" applyFill="1" applyBorder="1" applyProtection="1"/>
    <xf numFmtId="168" fontId="27" fillId="7" borderId="5" xfId="4" applyNumberFormat="1" applyFont="1" applyFill="1" applyBorder="1" applyProtection="1"/>
    <xf numFmtId="165" fontId="30" fillId="7" borderId="17" xfId="2" applyNumberFormat="1" applyFont="1" applyFill="1" applyBorder="1" applyProtection="1"/>
    <xf numFmtId="165" fontId="30" fillId="7" borderId="0" xfId="2" applyNumberFormat="1" applyFont="1" applyFill="1" applyBorder="1" applyProtection="1"/>
    <xf numFmtId="43" fontId="27" fillId="7" borderId="5" xfId="4" applyFont="1" applyFill="1" applyBorder="1" applyProtection="1"/>
    <xf numFmtId="165" fontId="4" fillId="7" borderId="0" xfId="2" applyNumberFormat="1" applyFont="1" applyFill="1" applyBorder="1" applyProtection="1"/>
    <xf numFmtId="168" fontId="30" fillId="7" borderId="5" xfId="4" applyNumberFormat="1" applyFont="1" applyFill="1" applyBorder="1" applyProtection="1"/>
    <xf numFmtId="168" fontId="4" fillId="7" borderId="5" xfId="4" applyNumberFormat="1" applyFont="1" applyFill="1" applyBorder="1" applyProtection="1"/>
    <xf numFmtId="165" fontId="44" fillId="7" borderId="17" xfId="2" applyNumberFormat="1" applyFont="1" applyFill="1" applyBorder="1" applyProtection="1"/>
    <xf numFmtId="43" fontId="30" fillId="7" borderId="5" xfId="4" applyFont="1" applyFill="1" applyBorder="1" applyProtection="1"/>
    <xf numFmtId="9" fontId="30" fillId="7" borderId="0" xfId="0" applyNumberFormat="1" applyFont="1" applyFill="1" applyAlignment="1">
      <alignment horizontal="center"/>
    </xf>
    <xf numFmtId="165" fontId="27" fillId="7" borderId="16" xfId="2" applyNumberFormat="1" applyFont="1" applyFill="1" applyBorder="1" applyProtection="1"/>
    <xf numFmtId="165" fontId="27" fillId="7" borderId="13" xfId="2" applyNumberFormat="1" applyFont="1" applyFill="1" applyBorder="1" applyProtection="1"/>
    <xf numFmtId="170" fontId="4" fillId="2" borderId="5" xfId="4" applyNumberFormat="1" applyFont="1" applyFill="1" applyBorder="1" applyProtection="1"/>
    <xf numFmtId="0" fontId="30" fillId="7" borderId="17" xfId="0" applyFont="1" applyFill="1" applyBorder="1"/>
    <xf numFmtId="165" fontId="30" fillId="7" borderId="0" xfId="0" applyNumberFormat="1" applyFont="1" applyFill="1"/>
    <xf numFmtId="169" fontId="4" fillId="7" borderId="5" xfId="4" applyNumberFormat="1" applyFont="1" applyFill="1" applyBorder="1" applyProtection="1"/>
    <xf numFmtId="9" fontId="16" fillId="3" borderId="30" xfId="1" applyFont="1" applyFill="1" applyBorder="1" applyAlignment="1">
      <alignment horizontal="left"/>
    </xf>
    <xf numFmtId="167" fontId="16" fillId="3" borderId="30" xfId="5" applyNumberFormat="1" applyFont="1" applyFill="1" applyBorder="1" applyAlignment="1">
      <alignment horizontal="left"/>
    </xf>
    <xf numFmtId="44" fontId="16" fillId="3" borderId="30" xfId="5" applyFont="1" applyFill="1" applyBorder="1" applyAlignment="1">
      <alignment horizontal="left"/>
    </xf>
    <xf numFmtId="168" fontId="16" fillId="3" borderId="31" xfId="3" applyNumberFormat="1" applyFont="1" applyFill="1" applyBorder="1" applyAlignment="1">
      <alignment horizontal="left"/>
    </xf>
    <xf numFmtId="9" fontId="30" fillId="7" borderId="9" xfId="0" applyNumberFormat="1" applyFont="1" applyFill="1" applyBorder="1" applyAlignment="1">
      <alignment horizontal="center"/>
    </xf>
    <xf numFmtId="2" fontId="4" fillId="2" borderId="0" xfId="4" applyNumberFormat="1" applyFont="1" applyFill="1" applyBorder="1" applyAlignment="1" applyProtection="1">
      <alignment horizontal="center"/>
    </xf>
    <xf numFmtId="0" fontId="60" fillId="7" borderId="0" xfId="0" applyFont="1" applyFill="1"/>
    <xf numFmtId="0" fontId="30" fillId="7" borderId="10" xfId="0" applyFont="1" applyFill="1" applyBorder="1"/>
    <xf numFmtId="0" fontId="4" fillId="7" borderId="10" xfId="0" applyFont="1" applyFill="1" applyBorder="1"/>
    <xf numFmtId="0" fontId="45" fillId="2" borderId="21" xfId="0" applyFont="1" applyFill="1" applyBorder="1"/>
    <xf numFmtId="9" fontId="4" fillId="7" borderId="18" xfId="1" applyFont="1" applyFill="1" applyBorder="1" applyAlignment="1">
      <alignment horizontal="center"/>
    </xf>
    <xf numFmtId="0" fontId="4" fillId="7" borderId="10" xfId="0" applyFont="1" applyFill="1" applyBorder="1" applyAlignment="1">
      <alignment horizontal="center"/>
    </xf>
    <xf numFmtId="167" fontId="30" fillId="7" borderId="10" xfId="5" applyNumberFormat="1" applyFont="1" applyFill="1" applyBorder="1" applyProtection="1"/>
    <xf numFmtId="9" fontId="30" fillId="7" borderId="10" xfId="0" applyNumberFormat="1" applyFont="1" applyFill="1" applyBorder="1" applyAlignment="1">
      <alignment horizontal="center"/>
    </xf>
    <xf numFmtId="0" fontId="25" fillId="2" borderId="10" xfId="0" applyFont="1" applyFill="1" applyBorder="1" applyAlignment="1">
      <alignment horizontal="center"/>
    </xf>
    <xf numFmtId="168" fontId="30" fillId="7" borderId="10" xfId="4" applyNumberFormat="1" applyFont="1" applyFill="1" applyBorder="1" applyProtection="1"/>
    <xf numFmtId="43" fontId="30" fillId="7" borderId="11" xfId="4" applyFont="1" applyFill="1" applyBorder="1" applyProtection="1"/>
    <xf numFmtId="0" fontId="7" fillId="5" borderId="0" xfId="0" applyFont="1" applyFill="1" applyAlignment="1">
      <alignment horizontal="left" vertical="center"/>
    </xf>
    <xf numFmtId="1" fontId="51" fillId="7" borderId="0" xfId="0" applyNumberFormat="1" applyFont="1" applyFill="1"/>
    <xf numFmtId="0" fontId="30" fillId="2" borderId="9" xfId="0" applyFont="1" applyFill="1" applyBorder="1" applyAlignment="1">
      <alignment horizontal="center"/>
    </xf>
    <xf numFmtId="1" fontId="59" fillId="7" borderId="0" xfId="0" applyNumberFormat="1" applyFont="1" applyFill="1"/>
    <xf numFmtId="0" fontId="51" fillId="7" borderId="16" xfId="0" applyFont="1" applyFill="1" applyBorder="1"/>
    <xf numFmtId="0" fontId="51" fillId="7" borderId="13" xfId="0" applyFont="1" applyFill="1" applyBorder="1"/>
    <xf numFmtId="0" fontId="51" fillId="7" borderId="20" xfId="0" applyFont="1" applyFill="1" applyBorder="1"/>
    <xf numFmtId="0" fontId="51" fillId="7" borderId="17" xfId="0" applyFont="1" applyFill="1" applyBorder="1"/>
    <xf numFmtId="9" fontId="51" fillId="7" borderId="20" xfId="1" applyFont="1" applyFill="1" applyBorder="1"/>
    <xf numFmtId="9" fontId="51" fillId="7" borderId="9" xfId="1" applyFont="1" applyFill="1" applyBorder="1"/>
    <xf numFmtId="9" fontId="51" fillId="7" borderId="21" xfId="1" applyFont="1" applyFill="1" applyBorder="1"/>
    <xf numFmtId="167" fontId="51" fillId="7" borderId="13" xfId="5" applyNumberFormat="1" applyFont="1" applyFill="1" applyBorder="1"/>
    <xf numFmtId="167" fontId="51" fillId="7" borderId="10" xfId="5" applyNumberFormat="1" applyFont="1" applyFill="1" applyBorder="1"/>
    <xf numFmtId="167" fontId="51" fillId="7" borderId="16" xfId="5" applyNumberFormat="1" applyFont="1" applyFill="1" applyBorder="1"/>
    <xf numFmtId="167" fontId="51" fillId="7" borderId="17" xfId="5" applyNumberFormat="1" applyFont="1" applyFill="1" applyBorder="1"/>
    <xf numFmtId="167" fontId="51" fillId="7" borderId="18" xfId="5" applyNumberFormat="1" applyFont="1" applyFill="1" applyBorder="1"/>
    <xf numFmtId="9" fontId="52" fillId="7" borderId="0" xfId="0" applyNumberFormat="1" applyFont="1" applyFill="1"/>
    <xf numFmtId="0" fontId="62" fillId="7" borderId="4" xfId="0" applyFont="1" applyFill="1" applyBorder="1"/>
    <xf numFmtId="0" fontId="63" fillId="0" borderId="0" xfId="0" applyFont="1"/>
    <xf numFmtId="0" fontId="59" fillId="7" borderId="4" xfId="0" applyFont="1" applyFill="1" applyBorder="1"/>
    <xf numFmtId="165" fontId="51" fillId="7" borderId="9" xfId="5" applyNumberFormat="1" applyFont="1" applyFill="1" applyBorder="1"/>
    <xf numFmtId="165" fontId="51" fillId="7" borderId="21" xfId="5" applyNumberFormat="1" applyFont="1" applyFill="1" applyBorder="1"/>
    <xf numFmtId="9" fontId="53" fillId="7" borderId="0" xfId="0" applyNumberFormat="1" applyFont="1" applyFill="1"/>
    <xf numFmtId="165" fontId="53" fillId="2" borderId="0" xfId="5" applyNumberFormat="1" applyFont="1" applyFill="1" applyBorder="1"/>
    <xf numFmtId="165" fontId="62" fillId="7" borderId="0" xfId="0" applyNumberFormat="1" applyFont="1" applyFill="1"/>
    <xf numFmtId="0" fontId="59" fillId="7" borderId="0" xfId="0" quotePrefix="1" applyFont="1" applyFill="1" applyAlignment="1">
      <alignment horizontal="left"/>
    </xf>
    <xf numFmtId="0" fontId="8" fillId="2" borderId="0" xfId="0" applyFont="1" applyFill="1" applyAlignment="1">
      <alignment horizontal="right"/>
    </xf>
    <xf numFmtId="0" fontId="8" fillId="2" borderId="0" xfId="0" applyFont="1" applyFill="1"/>
    <xf numFmtId="3" fontId="8" fillId="4" borderId="0" xfId="0" applyNumberFormat="1" applyFont="1" applyFill="1"/>
    <xf numFmtId="3" fontId="16" fillId="3" borderId="30" xfId="3" applyNumberFormat="1" applyFont="1" applyFill="1" applyBorder="1" applyAlignment="1">
      <alignment horizontal="right"/>
    </xf>
    <xf numFmtId="2" fontId="24" fillId="2" borderId="0" xfId="1" applyNumberFormat="1" applyFont="1" applyFill="1" applyAlignment="1" applyProtection="1">
      <alignment horizontal="center"/>
      <protection locked="0"/>
    </xf>
    <xf numFmtId="168" fontId="4" fillId="0" borderId="0" xfId="4" applyNumberFormat="1" applyFont="1" applyFill="1" applyBorder="1" applyAlignment="1" applyProtection="1">
      <alignment horizontal="center"/>
    </xf>
    <xf numFmtId="165" fontId="4" fillId="0" borderId="0" xfId="2" applyNumberFormat="1" applyFont="1" applyFill="1" applyBorder="1" applyAlignment="1" applyProtection="1">
      <alignment horizontal="center"/>
    </xf>
    <xf numFmtId="165" fontId="30" fillId="7" borderId="18" xfId="2" applyNumberFormat="1" applyFont="1" applyFill="1" applyBorder="1" applyProtection="1"/>
    <xf numFmtId="168" fontId="30" fillId="7" borderId="18" xfId="4" applyNumberFormat="1" applyFont="1" applyFill="1" applyBorder="1" applyProtection="1"/>
    <xf numFmtId="165" fontId="30" fillId="7" borderId="10" xfId="2" applyNumberFormat="1" applyFont="1" applyFill="1" applyBorder="1" applyProtection="1"/>
    <xf numFmtId="43" fontId="27" fillId="7" borderId="11" xfId="4" applyFont="1" applyFill="1" applyBorder="1" applyProtection="1"/>
    <xf numFmtId="168" fontId="27" fillId="7" borderId="11" xfId="4" applyNumberFormat="1" applyFont="1" applyFill="1" applyBorder="1" applyProtection="1"/>
    <xf numFmtId="165" fontId="4" fillId="2" borderId="10" xfId="2" applyNumberFormat="1" applyFont="1" applyFill="1" applyBorder="1" applyProtection="1"/>
    <xf numFmtId="165" fontId="27" fillId="7" borderId="10" xfId="2" applyNumberFormat="1" applyFont="1" applyFill="1" applyBorder="1" applyProtection="1"/>
    <xf numFmtId="172" fontId="30" fillId="7" borderId="18" xfId="4" applyNumberFormat="1" applyFont="1" applyFill="1" applyBorder="1" applyProtection="1"/>
    <xf numFmtId="0" fontId="30" fillId="7" borderId="11" xfId="0" applyFont="1" applyFill="1" applyBorder="1"/>
    <xf numFmtId="1" fontId="52" fillId="2" borderId="0" xfId="4" applyNumberFormat="1" applyFont="1" applyFill="1" applyBorder="1"/>
    <xf numFmtId="0" fontId="64" fillId="0" borderId="0" xfId="0" applyFont="1"/>
    <xf numFmtId="0" fontId="64" fillId="0" borderId="35" xfId="0" applyFont="1" applyBorder="1"/>
    <xf numFmtId="0" fontId="64" fillId="0" borderId="36" xfId="0" applyFont="1" applyBorder="1" applyAlignment="1">
      <alignment horizontal="center"/>
    </xf>
    <xf numFmtId="0" fontId="64" fillId="0" borderId="37" xfId="0" applyFont="1" applyBorder="1" applyAlignment="1">
      <alignment horizontal="center"/>
    </xf>
    <xf numFmtId="0" fontId="27" fillId="7" borderId="37" xfId="0" applyFont="1" applyFill="1" applyBorder="1" applyAlignment="1">
      <alignment horizontal="center"/>
    </xf>
    <xf numFmtId="0" fontId="0" fillId="0" borderId="38" xfId="0" applyBorder="1"/>
    <xf numFmtId="0" fontId="0" fillId="0" borderId="5" xfId="0" applyBorder="1"/>
    <xf numFmtId="0" fontId="64" fillId="0" borderId="38" xfId="0" applyFont="1" applyBorder="1" applyAlignment="1">
      <alignment horizontal="right"/>
    </xf>
    <xf numFmtId="0" fontId="0" fillId="0" borderId="24" xfId="0" applyBorder="1" applyAlignment="1">
      <alignment horizontal="center"/>
    </xf>
    <xf numFmtId="0" fontId="0" fillId="0" borderId="5" xfId="0" applyBorder="1" applyAlignment="1">
      <alignment horizontal="center"/>
    </xf>
    <xf numFmtId="0" fontId="64" fillId="0" borderId="39" xfId="0" applyFont="1" applyBorder="1" applyAlignment="1">
      <alignment horizontal="right"/>
    </xf>
    <xf numFmtId="0" fontId="0" fillId="0" borderId="40" xfId="0" applyBorder="1" applyAlignment="1">
      <alignment horizontal="center"/>
    </xf>
    <xf numFmtId="0" fontId="0" fillId="0" borderId="8" xfId="0" applyBorder="1" applyAlignment="1">
      <alignment horizontal="center"/>
    </xf>
    <xf numFmtId="0" fontId="0" fillId="0" borderId="39" xfId="0" applyBorder="1" applyAlignment="1">
      <alignment horizontal="right"/>
    </xf>
    <xf numFmtId="0" fontId="0" fillId="0" borderId="8" xfId="0" applyBorder="1"/>
    <xf numFmtId="0" fontId="62" fillId="7" borderId="0" xfId="0" applyFont="1" applyFill="1"/>
    <xf numFmtId="10" fontId="51" fillId="7" borderId="0" xfId="1" applyNumberFormat="1" applyFont="1" applyFill="1"/>
    <xf numFmtId="167" fontId="0" fillId="0" borderId="0" xfId="5" applyNumberFormat="1" applyFont="1"/>
    <xf numFmtId="9" fontId="55" fillId="7" borderId="0" xfId="0" applyNumberFormat="1" applyFont="1" applyFill="1"/>
    <xf numFmtId="174" fontId="55" fillId="7" borderId="0" xfId="0" applyNumberFormat="1" applyFont="1" applyFill="1"/>
    <xf numFmtId="9" fontId="55" fillId="7" borderId="0" xfId="0" applyNumberFormat="1" applyFont="1" applyFill="1" applyAlignment="1">
      <alignment horizontal="left"/>
    </xf>
    <xf numFmtId="174" fontId="55" fillId="7" borderId="7" xfId="1" applyNumberFormat="1" applyFont="1" applyFill="1" applyBorder="1"/>
    <xf numFmtId="174" fontId="55" fillId="7" borderId="0" xfId="1" applyNumberFormat="1" applyFont="1" applyFill="1" applyBorder="1"/>
    <xf numFmtId="0" fontId="65" fillId="7" borderId="0" xfId="0" applyFont="1" applyFill="1"/>
    <xf numFmtId="0" fontId="27" fillId="2" borderId="0" xfId="0" applyFont="1" applyFill="1" applyAlignment="1" applyProtection="1">
      <alignment horizontal="left"/>
      <protection locked="0"/>
    </xf>
    <xf numFmtId="0" fontId="66" fillId="2" borderId="0" xfId="0" applyFont="1" applyFill="1" applyAlignment="1" applyProtection="1">
      <alignment horizontal="left"/>
      <protection locked="0"/>
    </xf>
    <xf numFmtId="14" fontId="30" fillId="2" borderId="0" xfId="0" applyNumberFormat="1" applyFont="1" applyFill="1" applyAlignment="1">
      <alignment horizontal="left"/>
    </xf>
    <xf numFmtId="0" fontId="67" fillId="2" borderId="0" xfId="0" applyFont="1" applyFill="1" applyAlignment="1">
      <alignment horizontal="center"/>
    </xf>
    <xf numFmtId="0" fontId="39" fillId="2" borderId="0" xfId="0" applyFont="1" applyFill="1" applyAlignment="1" applyProtection="1">
      <alignment horizontal="left"/>
      <protection locked="0"/>
    </xf>
    <xf numFmtId="4" fontId="68" fillId="2" borderId="41" xfId="0" applyNumberFormat="1" applyFont="1" applyFill="1" applyBorder="1" applyAlignment="1" applyProtection="1">
      <alignment horizontal="center"/>
      <protection locked="0"/>
    </xf>
    <xf numFmtId="165" fontId="31" fillId="2" borderId="0" xfId="2" applyNumberFormat="1" applyFont="1" applyFill="1" applyBorder="1" applyAlignment="1" applyProtection="1">
      <alignment horizontal="center"/>
    </xf>
    <xf numFmtId="165" fontId="31" fillId="2" borderId="5" xfId="2" applyNumberFormat="1" applyFont="1" applyFill="1" applyBorder="1" applyAlignment="1" applyProtection="1">
      <alignment horizontal="center"/>
    </xf>
    <xf numFmtId="4" fontId="69" fillId="2" borderId="14" xfId="0" applyNumberFormat="1" applyFont="1" applyFill="1" applyBorder="1" applyAlignment="1" applyProtection="1">
      <alignment horizontal="center"/>
      <protection locked="0"/>
    </xf>
    <xf numFmtId="4" fontId="69" fillId="2" borderId="41" xfId="0" applyNumberFormat="1" applyFont="1" applyFill="1" applyBorder="1" applyAlignment="1" applyProtection="1">
      <alignment horizontal="center"/>
      <protection locked="0"/>
    </xf>
    <xf numFmtId="167" fontId="30" fillId="2" borderId="0" xfId="5" applyNumberFormat="1" applyFont="1" applyFill="1"/>
    <xf numFmtId="167" fontId="27" fillId="2" borderId="0" xfId="5" applyNumberFormat="1" applyFont="1" applyFill="1"/>
    <xf numFmtId="9" fontId="69" fillId="2" borderId="22" xfId="1" applyFont="1" applyFill="1" applyBorder="1" applyAlignment="1" applyProtection="1">
      <alignment horizontal="center"/>
      <protection locked="0"/>
    </xf>
    <xf numFmtId="0" fontId="8" fillId="4" borderId="1" xfId="0" applyFont="1" applyFill="1" applyBorder="1"/>
    <xf numFmtId="0" fontId="8" fillId="4" borderId="3" xfId="0" applyFont="1" applyFill="1" applyBorder="1"/>
    <xf numFmtId="0" fontId="8" fillId="4" borderId="2" xfId="0" applyFont="1" applyFill="1" applyBorder="1"/>
    <xf numFmtId="165" fontId="4" fillId="4" borderId="38" xfId="2" applyNumberFormat="1" applyFont="1" applyFill="1" applyBorder="1" applyAlignment="1" applyProtection="1">
      <alignment horizontal="center" wrapText="1"/>
    </xf>
    <xf numFmtId="165" fontId="4" fillId="4" borderId="0" xfId="2" applyNumberFormat="1" applyFont="1" applyFill="1" applyBorder="1" applyAlignment="1" applyProtection="1">
      <alignment horizontal="center" wrapText="1"/>
    </xf>
    <xf numFmtId="165" fontId="4" fillId="4" borderId="24" xfId="2" applyNumberFormat="1" applyFont="1" applyFill="1" applyBorder="1" applyAlignment="1" applyProtection="1">
      <alignment horizontal="center" wrapText="1"/>
    </xf>
    <xf numFmtId="165" fontId="4" fillId="4" borderId="5" xfId="2" applyNumberFormat="1" applyFont="1" applyFill="1" applyBorder="1" applyAlignment="1" applyProtection="1">
      <alignment horizontal="center" wrapText="1"/>
    </xf>
    <xf numFmtId="9" fontId="34" fillId="4" borderId="38" xfId="0" applyNumberFormat="1" applyFont="1" applyFill="1" applyBorder="1" applyAlignment="1">
      <alignment horizontal="center"/>
    </xf>
    <xf numFmtId="165" fontId="4" fillId="4" borderId="10" xfId="2" applyNumberFormat="1" applyFont="1" applyFill="1" applyBorder="1" applyAlignment="1" applyProtection="1">
      <alignment horizontal="center" wrapText="1"/>
    </xf>
    <xf numFmtId="165" fontId="4" fillId="4" borderId="26" xfId="2" applyNumberFormat="1" applyFont="1" applyFill="1" applyBorder="1" applyAlignment="1" applyProtection="1">
      <alignment horizontal="center" wrapText="1"/>
    </xf>
    <xf numFmtId="165" fontId="31" fillId="4" borderId="26" xfId="2" applyNumberFormat="1" applyFont="1" applyFill="1" applyBorder="1" applyAlignment="1" applyProtection="1">
      <alignment horizontal="center"/>
    </xf>
    <xf numFmtId="165" fontId="31" fillId="4" borderId="0" xfId="2" applyNumberFormat="1" applyFont="1" applyFill="1" applyBorder="1" applyAlignment="1" applyProtection="1">
      <alignment horizontal="center"/>
    </xf>
    <xf numFmtId="165" fontId="31" fillId="4" borderId="5" xfId="2" applyNumberFormat="1" applyFont="1" applyFill="1" applyBorder="1" applyAlignment="1" applyProtection="1">
      <alignment horizontal="center"/>
    </xf>
    <xf numFmtId="165" fontId="31" fillId="4" borderId="42" xfId="2" applyNumberFormat="1" applyFont="1" applyFill="1" applyBorder="1" applyAlignment="1" applyProtection="1">
      <alignment horizontal="center"/>
    </xf>
    <xf numFmtId="165" fontId="39" fillId="4" borderId="22" xfId="2" applyNumberFormat="1" applyFont="1" applyFill="1" applyBorder="1" applyAlignment="1" applyProtection="1">
      <alignment horizontal="center" wrapText="1"/>
    </xf>
    <xf numFmtId="165" fontId="32" fillId="4" borderId="14" xfId="2" applyNumberFormat="1" applyFont="1" applyFill="1" applyBorder="1" applyAlignment="1" applyProtection="1">
      <alignment horizontal="center" wrapText="1"/>
    </xf>
    <xf numFmtId="165" fontId="31" fillId="4" borderId="14" xfId="2" applyNumberFormat="1" applyFont="1" applyFill="1" applyBorder="1" applyAlignment="1" applyProtection="1">
      <alignment horizontal="center"/>
    </xf>
    <xf numFmtId="165" fontId="31" fillId="4" borderId="22" xfId="2" applyNumberFormat="1" applyFont="1" applyFill="1" applyBorder="1" applyAlignment="1" applyProtection="1">
      <alignment horizontal="center"/>
    </xf>
    <xf numFmtId="0" fontId="30" fillId="4" borderId="28" xfId="0" applyFont="1" applyFill="1" applyBorder="1"/>
    <xf numFmtId="9" fontId="30" fillId="4" borderId="38" xfId="0" applyNumberFormat="1" applyFont="1" applyFill="1" applyBorder="1" applyAlignment="1">
      <alignment horizontal="center"/>
    </xf>
    <xf numFmtId="165" fontId="27" fillId="4" borderId="0" xfId="2" applyNumberFormat="1" applyFont="1" applyFill="1" applyBorder="1" applyAlignment="1" applyProtection="1">
      <alignment horizontal="center"/>
    </xf>
    <xf numFmtId="165" fontId="27" fillId="4" borderId="24" xfId="2" applyNumberFormat="1" applyFont="1" applyFill="1" applyBorder="1" applyAlignment="1" applyProtection="1">
      <alignment horizontal="center"/>
    </xf>
    <xf numFmtId="0" fontId="30" fillId="4" borderId="0" xfId="0" applyFont="1" applyFill="1"/>
    <xf numFmtId="0" fontId="30" fillId="4" borderId="5" xfId="0" applyFont="1" applyFill="1" applyBorder="1"/>
    <xf numFmtId="167" fontId="34" fillId="4" borderId="38" xfId="5" applyNumberFormat="1" applyFont="1" applyFill="1" applyBorder="1"/>
    <xf numFmtId="0" fontId="30" fillId="4" borderId="24" xfId="0" applyFont="1" applyFill="1" applyBorder="1"/>
    <xf numFmtId="167" fontId="34" fillId="4" borderId="24" xfId="5" applyNumberFormat="1" applyFont="1" applyFill="1" applyBorder="1"/>
    <xf numFmtId="167" fontId="34" fillId="4" borderId="0" xfId="5" applyNumberFormat="1" applyFont="1" applyFill="1" applyBorder="1"/>
    <xf numFmtId="0" fontId="30" fillId="4" borderId="4" xfId="0" applyFont="1" applyFill="1" applyBorder="1"/>
    <xf numFmtId="0" fontId="34" fillId="4" borderId="0" xfId="0" applyFont="1" applyFill="1"/>
    <xf numFmtId="0" fontId="4" fillId="4" borderId="0" xfId="0" applyFont="1" applyFill="1"/>
    <xf numFmtId="167" fontId="34" fillId="4" borderId="5" xfId="5" applyNumberFormat="1" applyFont="1" applyFill="1" applyBorder="1"/>
    <xf numFmtId="0" fontId="40" fillId="4" borderId="0" xfId="0" applyFont="1" applyFill="1" applyAlignment="1">
      <alignment horizontal="center"/>
    </xf>
    <xf numFmtId="0" fontId="30" fillId="4" borderId="0" xfId="0" applyFont="1" applyFill="1" applyAlignment="1">
      <alignment horizontal="right"/>
    </xf>
    <xf numFmtId="167" fontId="30" fillId="4" borderId="5" xfId="5" applyNumberFormat="1" applyFont="1" applyFill="1" applyBorder="1"/>
    <xf numFmtId="0" fontId="31" fillId="4" borderId="0" xfId="0" applyFont="1" applyFill="1"/>
    <xf numFmtId="0" fontId="40" fillId="4" borderId="0" xfId="0" applyFont="1" applyFill="1"/>
    <xf numFmtId="0" fontId="32" fillId="4" borderId="0" xfId="0" applyFont="1" applyFill="1"/>
    <xf numFmtId="0" fontId="71" fillId="4" borderId="0" xfId="0" applyFont="1" applyFill="1" applyAlignment="1">
      <alignment horizontal="center"/>
    </xf>
    <xf numFmtId="167" fontId="27" fillId="4" borderId="5" xfId="5" applyNumberFormat="1" applyFont="1" applyFill="1" applyBorder="1"/>
    <xf numFmtId="0" fontId="71" fillId="4" borderId="0" xfId="0" applyFont="1" applyFill="1" applyAlignment="1">
      <alignment horizontal="right"/>
    </xf>
    <xf numFmtId="0" fontId="30" fillId="4" borderId="6" xfId="0" applyFont="1" applyFill="1" applyBorder="1"/>
    <xf numFmtId="0" fontId="34" fillId="4" borderId="7" xfId="0" applyFont="1" applyFill="1" applyBorder="1" applyAlignment="1">
      <alignment horizontal="right"/>
    </xf>
    <xf numFmtId="0" fontId="30" fillId="4" borderId="7" xfId="0" applyFont="1" applyFill="1" applyBorder="1"/>
    <xf numFmtId="167" fontId="34" fillId="4" borderId="8" xfId="5" applyNumberFormat="1" applyFont="1" applyFill="1" applyBorder="1"/>
    <xf numFmtId="167" fontId="30" fillId="4" borderId="38" xfId="5" applyNumberFormat="1" applyFont="1" applyFill="1" applyBorder="1"/>
    <xf numFmtId="167" fontId="27" fillId="4" borderId="38" xfId="5" applyNumberFormat="1" applyFont="1" applyFill="1" applyBorder="1" applyProtection="1">
      <protection locked="0"/>
    </xf>
    <xf numFmtId="167" fontId="34" fillId="4" borderId="39" xfId="5" applyNumberFormat="1" applyFont="1" applyFill="1" applyBorder="1"/>
    <xf numFmtId="9" fontId="30" fillId="4" borderId="24" xfId="0" applyNumberFormat="1" applyFont="1" applyFill="1" applyBorder="1" applyAlignment="1">
      <alignment vertical="center"/>
    </xf>
    <xf numFmtId="167" fontId="30" fillId="4" borderId="24" xfId="5" applyNumberFormat="1" applyFont="1" applyFill="1" applyBorder="1"/>
    <xf numFmtId="167" fontId="30" fillId="4" borderId="0" xfId="5" applyNumberFormat="1" applyFont="1" applyFill="1" applyBorder="1"/>
    <xf numFmtId="165" fontId="39" fillId="4" borderId="5" xfId="0" applyNumberFormat="1" applyFont="1" applyFill="1" applyBorder="1"/>
    <xf numFmtId="0" fontId="30" fillId="4" borderId="40" xfId="0" applyFont="1" applyFill="1" applyBorder="1"/>
    <xf numFmtId="167" fontId="34" fillId="4" borderId="40" xfId="5" applyNumberFormat="1" applyFont="1" applyFill="1" applyBorder="1"/>
    <xf numFmtId="167" fontId="34" fillId="4" borderId="7" xfId="5" applyNumberFormat="1" applyFont="1" applyFill="1" applyBorder="1"/>
    <xf numFmtId="0" fontId="30" fillId="4" borderId="8" xfId="0" applyFont="1" applyFill="1" applyBorder="1"/>
    <xf numFmtId="9" fontId="69" fillId="4" borderId="0" xfId="1" applyFont="1" applyFill="1" applyBorder="1" applyAlignment="1" applyProtection="1">
      <alignment horizontal="center"/>
      <protection locked="0"/>
    </xf>
    <xf numFmtId="165" fontId="31" fillId="4" borderId="1" xfId="2" applyNumberFormat="1" applyFont="1" applyFill="1" applyBorder="1" applyAlignment="1" applyProtection="1">
      <alignment horizontal="center"/>
    </xf>
    <xf numFmtId="165" fontId="31" fillId="4" borderId="2" xfId="2" applyNumberFormat="1" applyFont="1" applyFill="1" applyBorder="1" applyAlignment="1" applyProtection="1">
      <alignment horizontal="center"/>
    </xf>
    <xf numFmtId="165" fontId="31" fillId="4" borderId="4" xfId="2" applyNumberFormat="1" applyFont="1" applyFill="1" applyBorder="1" applyAlignment="1" applyProtection="1">
      <alignment horizontal="center"/>
    </xf>
    <xf numFmtId="165" fontId="4" fillId="4" borderId="0" xfId="2" applyNumberFormat="1" applyFont="1" applyFill="1" applyBorder="1" applyAlignment="1" applyProtection="1">
      <alignment horizontal="right"/>
    </xf>
    <xf numFmtId="165" fontId="31" fillId="4" borderId="6" xfId="2" applyNumberFormat="1" applyFont="1" applyFill="1" applyBorder="1" applyAlignment="1" applyProtection="1">
      <alignment horizontal="center"/>
    </xf>
    <xf numFmtId="165" fontId="4" fillId="4" borderId="7" xfId="2" applyNumberFormat="1" applyFont="1" applyFill="1" applyBorder="1" applyAlignment="1" applyProtection="1">
      <alignment horizontal="right"/>
    </xf>
    <xf numFmtId="0" fontId="34" fillId="4" borderId="38" xfId="0" applyFont="1" applyFill="1" applyBorder="1"/>
    <xf numFmtId="0" fontId="34" fillId="4" borderId="4" xfId="0" applyFont="1" applyFill="1" applyBorder="1"/>
    <xf numFmtId="9" fontId="34" fillId="4" borderId="26" xfId="0" applyNumberFormat="1" applyFont="1" applyFill="1" applyBorder="1" applyAlignment="1">
      <alignment horizontal="center"/>
    </xf>
    <xf numFmtId="0" fontId="34" fillId="4" borderId="43" xfId="0" applyFont="1" applyFill="1" applyBorder="1"/>
    <xf numFmtId="9" fontId="30" fillId="4" borderId="24" xfId="0" applyNumberFormat="1" applyFont="1" applyFill="1" applyBorder="1" applyAlignment="1">
      <alignment horizontal="center"/>
    </xf>
    <xf numFmtId="0" fontId="70" fillId="4" borderId="4" xfId="0" applyFont="1" applyFill="1" applyBorder="1" applyAlignment="1">
      <alignment horizontal="right"/>
    </xf>
    <xf numFmtId="167" fontId="27" fillId="4" borderId="24" xfId="5" applyNumberFormat="1" applyFont="1" applyFill="1" applyBorder="1" applyProtection="1">
      <protection locked="0"/>
    </xf>
    <xf numFmtId="0" fontId="34" fillId="4" borderId="6" xfId="0" applyFont="1" applyFill="1" applyBorder="1"/>
    <xf numFmtId="0" fontId="72" fillId="11" borderId="1" xfId="3" applyFont="1" applyFill="1" applyBorder="1" applyAlignment="1">
      <alignment horizontal="left"/>
    </xf>
    <xf numFmtId="3" fontId="59" fillId="7" borderId="0" xfId="0" applyNumberFormat="1" applyFont="1" applyFill="1"/>
    <xf numFmtId="0" fontId="4" fillId="2" borderId="0" xfId="1" applyNumberFormat="1" applyFont="1" applyFill="1" applyBorder="1" applyAlignment="1" applyProtection="1">
      <alignment horizontal="center"/>
    </xf>
    <xf numFmtId="0" fontId="4" fillId="2" borderId="0" xfId="1" applyNumberFormat="1" applyFont="1" applyFill="1" applyBorder="1" applyAlignment="1">
      <alignment horizontal="center"/>
    </xf>
    <xf numFmtId="9" fontId="4" fillId="2" borderId="0" xfId="1" applyFont="1" applyFill="1" applyBorder="1" applyAlignment="1">
      <alignment horizontal="center"/>
    </xf>
    <xf numFmtId="0" fontId="30" fillId="2" borderId="0" xfId="1" applyNumberFormat="1" applyFont="1" applyFill="1" applyBorder="1" applyAlignment="1">
      <alignment horizontal="center"/>
    </xf>
    <xf numFmtId="1" fontId="30" fillId="2" borderId="0" xfId="1" applyNumberFormat="1" applyFont="1" applyFill="1" applyBorder="1" applyAlignment="1">
      <alignment horizontal="center"/>
    </xf>
    <xf numFmtId="9" fontId="4" fillId="2" borderId="0" xfId="1" applyFont="1" applyFill="1" applyBorder="1" applyAlignment="1" applyProtection="1">
      <alignment horizontal="center"/>
    </xf>
    <xf numFmtId="9" fontId="30" fillId="2" borderId="0" xfId="1" applyFont="1" applyFill="1" applyBorder="1" applyAlignment="1">
      <alignment horizontal="center"/>
    </xf>
    <xf numFmtId="1" fontId="4" fillId="2" borderId="0" xfId="1" applyNumberFormat="1" applyFont="1" applyFill="1" applyBorder="1" applyAlignment="1">
      <alignment horizontal="center"/>
    </xf>
    <xf numFmtId="0" fontId="32" fillId="2" borderId="0" xfId="0" applyFont="1" applyFill="1"/>
    <xf numFmtId="0" fontId="31" fillId="2" borderId="0" xfId="0" applyFont="1" applyFill="1"/>
    <xf numFmtId="0" fontId="4" fillId="2" borderId="0" xfId="0" applyFont="1" applyFill="1"/>
    <xf numFmtId="0" fontId="32" fillId="2" borderId="5" xfId="0" applyFont="1" applyFill="1" applyBorder="1"/>
    <xf numFmtId="0" fontId="30" fillId="2" borderId="0" xfId="0" applyFont="1" applyFill="1" applyAlignment="1">
      <alignment horizontal="center"/>
    </xf>
    <xf numFmtId="0" fontId="30" fillId="2" borderId="0" xfId="0" applyFont="1" applyFill="1" applyAlignment="1">
      <alignment horizontal="right"/>
    </xf>
    <xf numFmtId="2" fontId="30" fillId="2" borderId="0" xfId="1" applyNumberFormat="1" applyFont="1" applyFill="1" applyBorder="1" applyAlignment="1">
      <alignment horizontal="center"/>
    </xf>
    <xf numFmtId="0" fontId="40" fillId="2" borderId="0" xfId="0" applyFont="1" applyFill="1"/>
    <xf numFmtId="171" fontId="8" fillId="4" borderId="14" xfId="0" applyNumberFormat="1" applyFont="1" applyFill="1" applyBorder="1"/>
    <xf numFmtId="3" fontId="8" fillId="4" borderId="14" xfId="0" applyNumberFormat="1" applyFont="1" applyFill="1" applyBorder="1"/>
    <xf numFmtId="0" fontId="73" fillId="0" borderId="0" xfId="0" applyFont="1"/>
    <xf numFmtId="0" fontId="75" fillId="7" borderId="0" xfId="0" applyFont="1" applyFill="1"/>
    <xf numFmtId="0" fontId="75" fillId="7" borderId="0" xfId="0" applyFont="1" applyFill="1" applyAlignment="1">
      <alignment vertical="top"/>
    </xf>
    <xf numFmtId="0" fontId="75" fillId="2" borderId="0" xfId="0" applyFont="1" applyFill="1"/>
    <xf numFmtId="175" fontId="4" fillId="7" borderId="0" xfId="0" applyNumberFormat="1" applyFont="1" applyFill="1" applyAlignment="1">
      <alignment horizontal="center"/>
    </xf>
    <xf numFmtId="175" fontId="4" fillId="2" borderId="0" xfId="2" applyNumberFormat="1" applyFont="1" applyFill="1" applyBorder="1" applyAlignment="1" applyProtection="1">
      <alignment horizontal="center"/>
    </xf>
    <xf numFmtId="0" fontId="7" fillId="0" borderId="44" xfId="0" applyFont="1" applyBorder="1" applyAlignment="1">
      <alignment horizontal="left"/>
    </xf>
    <xf numFmtId="0" fontId="7" fillId="0" borderId="17" xfId="0" applyFont="1" applyBorder="1" applyAlignment="1">
      <alignment horizontal="left"/>
    </xf>
    <xf numFmtId="0" fontId="7" fillId="0" borderId="18" xfId="0" applyFont="1" applyBorder="1" applyAlignment="1">
      <alignment horizontal="left"/>
    </xf>
    <xf numFmtId="0" fontId="17" fillId="0" borderId="16" xfId="0" applyFont="1" applyBorder="1" applyAlignment="1">
      <alignment horizontal="left"/>
    </xf>
    <xf numFmtId="0" fontId="7" fillId="0" borderId="17" xfId="0" applyFont="1" applyBorder="1" applyAlignment="1" applyProtection="1">
      <alignment horizontal="left"/>
      <protection locked="0"/>
    </xf>
    <xf numFmtId="0" fontId="17" fillId="0" borderId="17" xfId="0" applyFont="1" applyBorder="1" applyAlignment="1" applyProtection="1">
      <alignment horizontal="center"/>
      <protection locked="0"/>
    </xf>
    <xf numFmtId="0" fontId="7" fillId="0" borderId="16" xfId="0" applyFont="1" applyBorder="1" applyAlignment="1" applyProtection="1">
      <alignment horizontal="left"/>
      <protection locked="0"/>
    </xf>
    <xf numFmtId="0" fontId="7" fillId="0" borderId="18" xfId="0" applyFont="1" applyBorder="1" applyAlignment="1" applyProtection="1">
      <alignment horizontal="left"/>
      <protection locked="0"/>
    </xf>
    <xf numFmtId="0" fontId="7" fillId="0" borderId="17" xfId="0" applyFont="1" applyBorder="1" applyAlignment="1" applyProtection="1">
      <alignment horizontal="center"/>
      <protection locked="0"/>
    </xf>
    <xf numFmtId="0" fontId="22" fillId="0" borderId="18" xfId="0" applyFont="1" applyBorder="1" applyAlignment="1" applyProtection="1">
      <alignment horizontal="left"/>
      <protection locked="0"/>
    </xf>
    <xf numFmtId="0" fontId="17" fillId="0" borderId="17" xfId="0" applyFont="1" applyBorder="1" applyAlignment="1" applyProtection="1">
      <alignment horizontal="left"/>
      <protection locked="0"/>
    </xf>
    <xf numFmtId="0" fontId="7" fillId="0" borderId="17" xfId="0" applyFont="1" applyBorder="1" applyAlignment="1" applyProtection="1">
      <alignment horizontal="right"/>
      <protection locked="0"/>
    </xf>
    <xf numFmtId="9" fontId="7" fillId="0" borderId="17" xfId="1" applyFont="1" applyFill="1" applyBorder="1" applyAlignment="1" applyProtection="1">
      <alignment horizontal="right"/>
      <protection locked="0"/>
    </xf>
    <xf numFmtId="0" fontId="21" fillId="0" borderId="17" xfId="0" applyFont="1" applyBorder="1" applyAlignment="1" applyProtection="1">
      <alignment horizontal="left"/>
      <protection locked="0"/>
    </xf>
    <xf numFmtId="0" fontId="22" fillId="0" borderId="17" xfId="0" applyFont="1" applyBorder="1" applyAlignment="1" applyProtection="1">
      <alignment horizontal="left"/>
      <protection locked="0"/>
    </xf>
    <xf numFmtId="0" fontId="7" fillId="0" borderId="17" xfId="0" applyFont="1" applyBorder="1" applyAlignment="1" applyProtection="1">
      <alignment horizontal="left" vertical="top"/>
      <protection locked="0"/>
    </xf>
    <xf numFmtId="0" fontId="17" fillId="0" borderId="18" xfId="0" applyFont="1" applyBorder="1" applyAlignment="1">
      <alignment horizontal="left"/>
    </xf>
    <xf numFmtId="0" fontId="29" fillId="5" borderId="16" xfId="0" applyFont="1" applyFill="1" applyBorder="1" applyAlignment="1">
      <alignment horizontal="left" vertical="center"/>
    </xf>
    <xf numFmtId="0" fontId="29" fillId="2" borderId="44" xfId="0" applyFont="1" applyFill="1" applyBorder="1" applyAlignment="1">
      <alignment horizontal="right" vertical="center"/>
    </xf>
    <xf numFmtId="168" fontId="27" fillId="7" borderId="17" xfId="4" applyNumberFormat="1" applyFont="1" applyFill="1" applyBorder="1" applyProtection="1"/>
    <xf numFmtId="168" fontId="30" fillId="7" borderId="17" xfId="4" applyNumberFormat="1" applyFont="1" applyFill="1" applyBorder="1" applyProtection="1"/>
    <xf numFmtId="43" fontId="30" fillId="7" borderId="17" xfId="4" applyFont="1" applyFill="1" applyBorder="1" applyProtection="1"/>
    <xf numFmtId="168" fontId="30" fillId="7" borderId="45" xfId="4" applyNumberFormat="1" applyFont="1" applyFill="1" applyBorder="1" applyProtection="1"/>
    <xf numFmtId="168" fontId="27" fillId="7" borderId="16" xfId="4" applyNumberFormat="1" applyFont="1" applyFill="1" applyBorder="1" applyProtection="1"/>
    <xf numFmtId="170" fontId="30" fillId="7" borderId="17" xfId="4" applyNumberFormat="1" applyFont="1" applyFill="1" applyBorder="1" applyProtection="1"/>
    <xf numFmtId="172" fontId="30" fillId="7" borderId="17" xfId="4" applyNumberFormat="1" applyFont="1" applyFill="1" applyBorder="1" applyProtection="1"/>
    <xf numFmtId="0" fontId="30" fillId="7" borderId="17" xfId="4" applyNumberFormat="1" applyFont="1" applyFill="1" applyBorder="1" applyProtection="1"/>
    <xf numFmtId="0" fontId="30" fillId="7" borderId="45" xfId="4" applyNumberFormat="1" applyFont="1" applyFill="1" applyBorder="1" applyProtection="1"/>
    <xf numFmtId="165" fontId="53" fillId="0" borderId="0" xfId="5" applyNumberFormat="1" applyFont="1" applyFill="1" applyBorder="1"/>
    <xf numFmtId="0" fontId="51" fillId="0" borderId="0" xfId="0" applyFont="1"/>
    <xf numFmtId="167" fontId="51" fillId="0" borderId="0" xfId="5" applyNumberFormat="1" applyFont="1" applyFill="1"/>
    <xf numFmtId="44" fontId="0" fillId="0" borderId="0" xfId="0" applyNumberFormat="1"/>
    <xf numFmtId="44" fontId="0" fillId="0" borderId="0" xfId="5" applyFont="1"/>
    <xf numFmtId="165" fontId="30" fillId="2" borderId="17" xfId="2" applyNumberFormat="1" applyFont="1" applyFill="1" applyBorder="1" applyProtection="1"/>
    <xf numFmtId="165" fontId="27" fillId="2" borderId="0" xfId="2" applyNumberFormat="1" applyFont="1" applyFill="1" applyBorder="1" applyProtection="1"/>
    <xf numFmtId="170" fontId="30" fillId="2" borderId="17" xfId="4" applyNumberFormat="1" applyFont="1" applyFill="1" applyBorder="1" applyProtection="1"/>
    <xf numFmtId="168" fontId="27" fillId="2" borderId="5" xfId="4" applyNumberFormat="1" applyFont="1" applyFill="1" applyBorder="1" applyProtection="1"/>
    <xf numFmtId="165" fontId="30" fillId="2" borderId="0" xfId="2" applyNumberFormat="1" applyFont="1" applyFill="1" applyBorder="1" applyProtection="1"/>
    <xf numFmtId="43" fontId="27" fillId="2" borderId="5" xfId="4" applyFont="1" applyFill="1" applyBorder="1" applyProtection="1"/>
    <xf numFmtId="165" fontId="30" fillId="2" borderId="18" xfId="2" applyNumberFormat="1" applyFont="1" applyFill="1" applyBorder="1" applyProtection="1"/>
    <xf numFmtId="168" fontId="30" fillId="2" borderId="18" xfId="4" applyNumberFormat="1" applyFont="1" applyFill="1" applyBorder="1" applyProtection="1"/>
    <xf numFmtId="168" fontId="27" fillId="2" borderId="11" xfId="4" applyNumberFormat="1" applyFont="1" applyFill="1" applyBorder="1" applyProtection="1"/>
    <xf numFmtId="0" fontId="64" fillId="0" borderId="1" xfId="0" applyFont="1" applyBorder="1"/>
    <xf numFmtId="0" fontId="0" fillId="0" borderId="2" xfId="0" applyBorder="1"/>
    <xf numFmtId="0" fontId="0" fillId="0" borderId="3" xfId="0" applyBorder="1"/>
    <xf numFmtId="0" fontId="0" fillId="0" borderId="4" xfId="0" applyBorder="1"/>
    <xf numFmtId="0" fontId="0" fillId="0" borderId="6" xfId="0" applyBorder="1"/>
    <xf numFmtId="0" fontId="0" fillId="0" borderId="7" xfId="0" applyBorder="1"/>
    <xf numFmtId="168" fontId="38" fillId="5" borderId="7" xfId="4" applyNumberFormat="1" applyFont="1" applyFill="1" applyBorder="1" applyAlignment="1" applyProtection="1">
      <alignment horizontal="center"/>
    </xf>
    <xf numFmtId="167" fontId="38" fillId="5" borderId="8" xfId="5" applyNumberFormat="1" applyFont="1" applyFill="1" applyBorder="1" applyAlignment="1" applyProtection="1">
      <alignment horizontal="center"/>
    </xf>
    <xf numFmtId="168" fontId="38" fillId="5" borderId="0" xfId="4" applyNumberFormat="1" applyFont="1" applyFill="1" applyBorder="1" applyAlignment="1" applyProtection="1">
      <alignment horizontal="center"/>
    </xf>
    <xf numFmtId="167" fontId="38" fillId="5" borderId="5" xfId="5" applyNumberFormat="1" applyFont="1" applyFill="1" applyBorder="1" applyAlignment="1" applyProtection="1">
      <alignment horizontal="center"/>
    </xf>
    <xf numFmtId="168" fontId="29" fillId="5" borderId="0" xfId="4" applyNumberFormat="1" applyFont="1" applyFill="1" applyBorder="1" applyAlignment="1" applyProtection="1">
      <alignment horizontal="center"/>
    </xf>
    <xf numFmtId="165" fontId="29" fillId="5" borderId="5" xfId="2" applyNumberFormat="1" applyFont="1" applyFill="1" applyBorder="1" applyAlignment="1" applyProtection="1">
      <alignment horizontal="center"/>
    </xf>
    <xf numFmtId="168" fontId="27" fillId="5" borderId="10" xfId="4" applyNumberFormat="1" applyFont="1" applyFill="1" applyBorder="1" applyAlignment="1" applyProtection="1">
      <alignment horizontal="center"/>
    </xf>
    <xf numFmtId="165" fontId="27" fillId="5" borderId="11" xfId="2" applyNumberFormat="1" applyFont="1" applyFill="1" applyBorder="1" applyAlignment="1" applyProtection="1">
      <alignment horizontal="center"/>
    </xf>
    <xf numFmtId="0" fontId="31" fillId="5" borderId="25" xfId="0" applyFont="1" applyFill="1" applyBorder="1" applyAlignment="1">
      <alignment horizontal="center"/>
    </xf>
    <xf numFmtId="0" fontId="31" fillId="5" borderId="10" xfId="0" applyFont="1" applyFill="1" applyBorder="1" applyAlignment="1">
      <alignment horizontal="left" vertical="top"/>
    </xf>
    <xf numFmtId="0" fontId="31" fillId="5" borderId="0" xfId="0" applyFont="1" applyFill="1" applyAlignment="1">
      <alignment horizontal="left" vertical="top"/>
    </xf>
    <xf numFmtId="0" fontId="40" fillId="5" borderId="0" xfId="0" applyFont="1" applyFill="1" applyAlignment="1">
      <alignment horizontal="left" vertical="top"/>
    </xf>
    <xf numFmtId="0" fontId="31" fillId="5" borderId="6" xfId="0" applyFont="1" applyFill="1" applyBorder="1" applyAlignment="1">
      <alignment horizontal="center"/>
    </xf>
    <xf numFmtId="0" fontId="31" fillId="5" borderId="7" xfId="0" applyFont="1" applyFill="1" applyBorder="1" applyAlignment="1">
      <alignment horizontal="left" vertical="top"/>
    </xf>
    <xf numFmtId="168" fontId="27" fillId="5" borderId="7" xfId="4" applyNumberFormat="1" applyFont="1" applyFill="1" applyBorder="1" applyAlignment="1" applyProtection="1">
      <alignment horizontal="center"/>
    </xf>
    <xf numFmtId="165" fontId="27" fillId="5" borderId="8" xfId="2" applyNumberFormat="1" applyFont="1" applyFill="1" applyBorder="1" applyAlignment="1" applyProtection="1">
      <alignment horizontal="center"/>
    </xf>
    <xf numFmtId="165" fontId="27" fillId="5" borderId="5" xfId="2" applyNumberFormat="1" applyFont="1" applyFill="1" applyBorder="1" applyAlignment="1" applyProtection="1">
      <alignment horizontal="left"/>
    </xf>
    <xf numFmtId="165" fontId="4" fillId="5" borderId="5" xfId="2" applyNumberFormat="1" applyFont="1" applyFill="1" applyBorder="1" applyAlignment="1" applyProtection="1">
      <alignment horizontal="left"/>
    </xf>
    <xf numFmtId="0" fontId="76" fillId="2" borderId="0" xfId="0" applyFont="1" applyFill="1"/>
    <xf numFmtId="0" fontId="4" fillId="0" borderId="0" xfId="0" applyFont="1" applyAlignment="1">
      <alignment horizontal="center"/>
    </xf>
    <xf numFmtId="0" fontId="38" fillId="7" borderId="0" xfId="0" applyFont="1" applyFill="1" applyAlignment="1">
      <alignment horizontal="left"/>
    </xf>
    <xf numFmtId="0" fontId="38" fillId="7" borderId="5" xfId="0" applyFont="1" applyFill="1" applyBorder="1" applyAlignment="1">
      <alignment horizontal="left"/>
    </xf>
    <xf numFmtId="0" fontId="32" fillId="2" borderId="0" xfId="0" applyFont="1" applyFill="1" applyAlignment="1">
      <alignment horizontal="center"/>
    </xf>
    <xf numFmtId="0" fontId="0" fillId="0" borderId="46" xfId="0" applyBorder="1"/>
    <xf numFmtId="0" fontId="0" fillId="0" borderId="47" xfId="0" applyBorder="1"/>
    <xf numFmtId="0" fontId="0" fillId="0" borderId="48" xfId="0" applyBorder="1"/>
    <xf numFmtId="0" fontId="56" fillId="7" borderId="1" xfId="0" applyFont="1" applyFill="1" applyBorder="1"/>
    <xf numFmtId="0" fontId="77" fillId="2" borderId="0" xfId="0" applyFont="1" applyFill="1"/>
    <xf numFmtId="9" fontId="32" fillId="0" borderId="0" xfId="0" applyNumberFormat="1" applyFont="1"/>
    <xf numFmtId="0" fontId="76" fillId="0" borderId="0" xfId="0" applyFont="1"/>
    <xf numFmtId="0" fontId="51" fillId="7" borderId="1" xfId="0" applyFont="1" applyFill="1" applyBorder="1"/>
    <xf numFmtId="0" fontId="64" fillId="0" borderId="0" xfId="0" applyFont="1" applyAlignment="1">
      <alignment horizontal="center"/>
    </xf>
    <xf numFmtId="3" fontId="0" fillId="0" borderId="0" xfId="0" applyNumberFormat="1"/>
    <xf numFmtId="171" fontId="0" fillId="0" borderId="0" xfId="0" applyNumberFormat="1"/>
    <xf numFmtId="0" fontId="48" fillId="11" borderId="2" xfId="3" applyFont="1" applyFill="1" applyBorder="1" applyAlignment="1">
      <alignment horizontal="right"/>
    </xf>
    <xf numFmtId="0" fontId="4" fillId="0" borderId="0" xfId="1" applyNumberFormat="1" applyFont="1" applyFill="1" applyBorder="1" applyAlignment="1" applyProtection="1">
      <alignment horizontal="center"/>
    </xf>
    <xf numFmtId="167" fontId="52" fillId="0" borderId="0" xfId="5" applyNumberFormat="1" applyFont="1" applyFill="1" applyBorder="1"/>
    <xf numFmtId="165" fontId="52" fillId="0" borderId="0" xfId="5" applyNumberFormat="1" applyFont="1" applyFill="1" applyBorder="1"/>
    <xf numFmtId="165" fontId="52" fillId="0" borderId="32" xfId="5" applyNumberFormat="1" applyFont="1" applyFill="1" applyBorder="1"/>
    <xf numFmtId="171" fontId="4" fillId="7" borderId="0" xfId="0" applyNumberFormat="1" applyFont="1" applyFill="1" applyAlignment="1">
      <alignment horizontal="center"/>
    </xf>
    <xf numFmtId="167" fontId="0" fillId="0" borderId="0" xfId="0" applyNumberFormat="1"/>
    <xf numFmtId="165" fontId="40" fillId="4" borderId="5" xfId="2" applyNumberFormat="1" applyFont="1" applyFill="1" applyBorder="1" applyAlignment="1" applyProtection="1">
      <alignment horizontal="center"/>
    </xf>
    <xf numFmtId="167" fontId="34" fillId="4" borderId="38" xfId="0" applyNumberFormat="1" applyFont="1" applyFill="1" applyBorder="1" applyAlignment="1">
      <alignment horizontal="center"/>
    </xf>
    <xf numFmtId="167" fontId="34" fillId="4" borderId="0" xfId="0" applyNumberFormat="1" applyFont="1" applyFill="1"/>
    <xf numFmtId="167" fontId="34" fillId="4" borderId="24" xfId="0" applyNumberFormat="1" applyFont="1" applyFill="1" applyBorder="1"/>
    <xf numFmtId="0" fontId="78" fillId="4" borderId="4" xfId="0" applyFont="1" applyFill="1" applyBorder="1" applyAlignment="1">
      <alignment horizontal="left"/>
    </xf>
    <xf numFmtId="167" fontId="34" fillId="4" borderId="24" xfId="0" applyNumberFormat="1" applyFont="1" applyFill="1" applyBorder="1" applyAlignment="1">
      <alignment horizontal="center"/>
    </xf>
    <xf numFmtId="167" fontId="34" fillId="4" borderId="17" xfId="0" applyNumberFormat="1" applyFont="1" applyFill="1" applyBorder="1" applyAlignment="1">
      <alignment horizontal="center"/>
    </xf>
    <xf numFmtId="0" fontId="79" fillId="0" borderId="0" xfId="0" applyFont="1"/>
    <xf numFmtId="0" fontId="48" fillId="11" borderId="49" xfId="3" applyFont="1" applyFill="1" applyBorder="1" applyAlignment="1">
      <alignment horizontal="left"/>
    </xf>
    <xf numFmtId="0" fontId="48" fillId="11" borderId="50" xfId="3" applyFont="1" applyFill="1" applyBorder="1" applyAlignment="1">
      <alignment horizontal="left"/>
    </xf>
    <xf numFmtId="0" fontId="8" fillId="2" borderId="50" xfId="0" applyFont="1" applyFill="1" applyBorder="1"/>
    <xf numFmtId="0" fontId="24" fillId="5" borderId="50" xfId="0" applyFont="1" applyFill="1" applyBorder="1"/>
    <xf numFmtId="0" fontId="24" fillId="5" borderId="51" xfId="0" applyFont="1" applyFill="1" applyBorder="1"/>
    <xf numFmtId="43" fontId="52" fillId="12" borderId="14" xfId="4" applyFont="1" applyFill="1" applyBorder="1" applyAlignment="1" applyProtection="1">
      <alignment horizontal="center"/>
    </xf>
    <xf numFmtId="169" fontId="52" fillId="12" borderId="14" xfId="4" applyNumberFormat="1" applyFont="1" applyFill="1" applyBorder="1" applyAlignment="1" applyProtection="1">
      <alignment horizontal="center"/>
    </xf>
    <xf numFmtId="173" fontId="52" fillId="12" borderId="14" xfId="4" applyNumberFormat="1" applyFont="1" applyFill="1" applyBorder="1" applyAlignment="1" applyProtection="1">
      <alignment horizontal="center"/>
    </xf>
    <xf numFmtId="9" fontId="52" fillId="12" borderId="14" xfId="1" applyFont="1" applyFill="1" applyBorder="1" applyAlignment="1" applyProtection="1">
      <alignment horizontal="right"/>
    </xf>
    <xf numFmtId="174" fontId="52" fillId="12" borderId="14" xfId="1" applyNumberFormat="1" applyFont="1" applyFill="1" applyBorder="1" applyAlignment="1" applyProtection="1">
      <alignment horizontal="right"/>
    </xf>
    <xf numFmtId="0" fontId="52" fillId="12" borderId="14" xfId="1" applyNumberFormat="1" applyFont="1" applyFill="1" applyBorder="1" applyAlignment="1" applyProtection="1">
      <alignment horizontal="right"/>
    </xf>
    <xf numFmtId="14" fontId="0" fillId="0" borderId="0" xfId="0" applyNumberFormat="1"/>
    <xf numFmtId="0" fontId="80" fillId="4" borderId="0" xfId="0" applyFont="1" applyFill="1"/>
    <xf numFmtId="165" fontId="39" fillId="4" borderId="7" xfId="0" applyNumberFormat="1" applyFont="1" applyFill="1" applyBorder="1"/>
    <xf numFmtId="0" fontId="81" fillId="2" borderId="0" xfId="0" applyFont="1" applyFill="1"/>
    <xf numFmtId="14" fontId="8" fillId="5" borderId="26" xfId="0" applyNumberFormat="1" applyFont="1" applyFill="1" applyBorder="1" applyAlignment="1" applyProtection="1">
      <alignment horizontal="left"/>
      <protection locked="0"/>
    </xf>
    <xf numFmtId="0" fontId="8" fillId="5" borderId="14" xfId="0" applyFont="1" applyFill="1" applyBorder="1" applyProtection="1">
      <protection locked="0"/>
    </xf>
    <xf numFmtId="3" fontId="8" fillId="5" borderId="14" xfId="0" applyNumberFormat="1" applyFont="1" applyFill="1" applyBorder="1" applyProtection="1">
      <protection locked="0"/>
    </xf>
    <xf numFmtId="0" fontId="8" fillId="5" borderId="14" xfId="0" applyFont="1" applyFill="1" applyBorder="1" applyAlignment="1" applyProtection="1">
      <alignment horizontal="right"/>
      <protection locked="0"/>
    </xf>
    <xf numFmtId="0" fontId="8" fillId="5" borderId="14" xfId="0" applyFont="1" applyFill="1" applyBorder="1" applyAlignment="1" applyProtection="1">
      <alignment horizontal="right" wrapText="1"/>
      <protection locked="0"/>
    </xf>
    <xf numFmtId="2" fontId="8" fillId="5" borderId="14" xfId="0" applyNumberFormat="1" applyFont="1" applyFill="1" applyBorder="1" applyProtection="1">
      <protection locked="0"/>
    </xf>
    <xf numFmtId="0" fontId="74" fillId="4" borderId="0" xfId="0" applyFont="1" applyFill="1"/>
    <xf numFmtId="43" fontId="52" fillId="2" borderId="14" xfId="4" applyFont="1" applyFill="1" applyBorder="1" applyAlignment="1" applyProtection="1">
      <alignment horizontal="center"/>
    </xf>
    <xf numFmtId="0" fontId="8" fillId="4" borderId="0" xfId="0" applyFont="1" applyFill="1" applyAlignment="1">
      <alignment horizontal="left" vertical="top" wrapText="1"/>
    </xf>
    <xf numFmtId="0" fontId="8" fillId="4" borderId="16" xfId="0" applyFont="1" applyFill="1" applyBorder="1" applyAlignment="1">
      <alignment horizontal="left" vertical="top" wrapText="1"/>
    </xf>
    <xf numFmtId="0" fontId="8" fillId="4" borderId="13" xfId="0" applyFont="1" applyFill="1" applyBorder="1" applyAlignment="1">
      <alignment horizontal="left" vertical="top" wrapText="1"/>
    </xf>
    <xf numFmtId="0" fontId="8" fillId="4" borderId="20" xfId="0" applyFont="1" applyFill="1" applyBorder="1" applyAlignment="1">
      <alignment horizontal="left" vertical="top" wrapText="1"/>
    </xf>
    <xf numFmtId="0" fontId="8" fillId="4" borderId="17" xfId="0" applyFont="1" applyFill="1" applyBorder="1" applyAlignment="1">
      <alignment horizontal="left" vertical="top" wrapText="1"/>
    </xf>
    <xf numFmtId="0" fontId="8" fillId="4" borderId="9" xfId="0" applyFont="1" applyFill="1" applyBorder="1" applyAlignment="1">
      <alignment horizontal="left" vertical="top" wrapText="1"/>
    </xf>
    <xf numFmtId="0" fontId="8" fillId="4" borderId="18" xfId="0" applyFont="1" applyFill="1" applyBorder="1" applyAlignment="1">
      <alignment horizontal="left" vertical="top" wrapText="1"/>
    </xf>
    <xf numFmtId="0" fontId="8" fillId="4" borderId="10" xfId="0" applyFont="1" applyFill="1" applyBorder="1" applyAlignment="1">
      <alignment horizontal="left" vertical="top" wrapText="1"/>
    </xf>
    <xf numFmtId="0" fontId="8" fillId="4" borderId="21" xfId="0" applyFont="1" applyFill="1" applyBorder="1" applyAlignment="1">
      <alignment horizontal="left" vertical="top" wrapText="1"/>
    </xf>
    <xf numFmtId="0" fontId="8" fillId="5" borderId="33" xfId="0" applyFont="1" applyFill="1" applyBorder="1" applyAlignment="1" applyProtection="1">
      <alignment horizontal="left"/>
      <protection locked="0"/>
    </xf>
    <xf numFmtId="0" fontId="8" fillId="5" borderId="22" xfId="0" applyFont="1" applyFill="1" applyBorder="1" applyAlignment="1" applyProtection="1">
      <alignment horizontal="left"/>
      <protection locked="0"/>
    </xf>
    <xf numFmtId="0" fontId="8" fillId="5" borderId="34" xfId="0" applyFont="1" applyFill="1" applyBorder="1" applyAlignment="1" applyProtection="1">
      <alignment horizontal="left"/>
      <protection locked="0"/>
    </xf>
    <xf numFmtId="0" fontId="74" fillId="4" borderId="16" xfId="0" applyFont="1" applyFill="1" applyBorder="1" applyAlignment="1">
      <alignment horizontal="left" vertical="top" wrapText="1"/>
    </xf>
    <xf numFmtId="0" fontId="74" fillId="4" borderId="13" xfId="0" applyFont="1" applyFill="1" applyBorder="1" applyAlignment="1">
      <alignment horizontal="left" vertical="top" wrapText="1"/>
    </xf>
    <xf numFmtId="0" fontId="74" fillId="4" borderId="20" xfId="0" applyFont="1" applyFill="1" applyBorder="1" applyAlignment="1">
      <alignment horizontal="left" vertical="top" wrapText="1"/>
    </xf>
    <xf numFmtId="0" fontId="74" fillId="4" borderId="17" xfId="0" applyFont="1" applyFill="1" applyBorder="1" applyAlignment="1">
      <alignment horizontal="left" vertical="top" wrapText="1"/>
    </xf>
    <xf numFmtId="0" fontId="74" fillId="4" borderId="0" xfId="0" applyFont="1" applyFill="1" applyAlignment="1">
      <alignment horizontal="left" vertical="top" wrapText="1"/>
    </xf>
    <xf numFmtId="0" fontId="74" fillId="4" borderId="9" xfId="0" applyFont="1" applyFill="1" applyBorder="1" applyAlignment="1">
      <alignment horizontal="left" vertical="top" wrapText="1"/>
    </xf>
    <xf numFmtId="0" fontId="74" fillId="4" borderId="18" xfId="0" applyFont="1" applyFill="1" applyBorder="1" applyAlignment="1">
      <alignment horizontal="left" vertical="top" wrapText="1"/>
    </xf>
    <xf numFmtId="0" fontId="74" fillId="4" borderId="10" xfId="0" applyFont="1" applyFill="1" applyBorder="1" applyAlignment="1">
      <alignment horizontal="left" vertical="top" wrapText="1"/>
    </xf>
    <xf numFmtId="0" fontId="74" fillId="4" borderId="21" xfId="0" applyFont="1" applyFill="1" applyBorder="1" applyAlignment="1">
      <alignment horizontal="left" vertical="top" wrapText="1"/>
    </xf>
    <xf numFmtId="0" fontId="38" fillId="7" borderId="0" xfId="0" applyFont="1" applyFill="1" applyAlignment="1">
      <alignment horizontal="left"/>
    </xf>
    <xf numFmtId="0" fontId="38" fillId="7" borderId="5" xfId="0" applyFont="1" applyFill="1" applyBorder="1" applyAlignment="1">
      <alignment horizontal="left"/>
    </xf>
    <xf numFmtId="0" fontId="4" fillId="7" borderId="0" xfId="0" applyFont="1" applyFill="1" applyAlignment="1">
      <alignment horizontal="left"/>
    </xf>
    <xf numFmtId="0" fontId="4" fillId="7" borderId="5" xfId="0" applyFont="1" applyFill="1" applyBorder="1" applyAlignment="1">
      <alignment horizontal="left"/>
    </xf>
    <xf numFmtId="0" fontId="38" fillId="7" borderId="13" xfId="0" applyFont="1" applyFill="1" applyBorder="1" applyAlignment="1">
      <alignment horizontal="left"/>
    </xf>
    <xf numFmtId="0" fontId="38" fillId="7" borderId="15" xfId="0" applyFont="1" applyFill="1" applyBorder="1" applyAlignment="1">
      <alignment horizontal="left"/>
    </xf>
    <xf numFmtId="0" fontId="55" fillId="7" borderId="4" xfId="0" applyFont="1" applyFill="1" applyBorder="1" applyAlignment="1">
      <alignment horizontal="right"/>
    </xf>
    <xf numFmtId="0" fontId="55" fillId="7" borderId="0" xfId="0" applyFont="1" applyFill="1" applyAlignment="1">
      <alignment horizontal="right"/>
    </xf>
  </cellXfs>
  <cellStyles count="6">
    <cellStyle name="Euro" xfId="2" xr:uid="{F5481B69-2BB7-47D8-8B0A-0348A58E1911}"/>
    <cellStyle name="Komma" xfId="4" builtinId="3"/>
    <cellStyle name="Procent" xfId="1" builtinId="5"/>
    <cellStyle name="Standaard" xfId="0" builtinId="0"/>
    <cellStyle name="Standaard 2" xfId="3" xr:uid="{CBD5796E-FBAC-46DA-9072-D8A8BF6681C7}"/>
    <cellStyle name="Valuta" xfId="5" builtinId="4"/>
  </cellStyles>
  <dxfs count="15">
    <dxf>
      <fill>
        <patternFill>
          <bgColor rgb="FFDCE6F1"/>
        </patternFill>
      </fill>
    </dxf>
    <dxf>
      <fill>
        <patternFill>
          <bgColor rgb="FFDCE6F1"/>
        </patternFill>
      </fill>
    </dxf>
    <dxf>
      <font>
        <color theme="3" tint="0.89996032593768116"/>
      </font>
    </dxf>
    <dxf>
      <fill>
        <patternFill>
          <bgColor rgb="FFDCE6F1"/>
        </patternFill>
      </fill>
    </dxf>
    <dxf>
      <fill>
        <patternFill>
          <bgColor rgb="FFDCE6F1"/>
        </patternFill>
      </fill>
    </dxf>
    <dxf>
      <fill>
        <patternFill>
          <bgColor rgb="FFDCE6F1"/>
        </patternFill>
      </fill>
    </dxf>
    <dxf>
      <font>
        <color theme="3" tint="0.89996032593768116"/>
      </font>
    </dxf>
    <dxf>
      <fill>
        <patternFill>
          <bgColor rgb="FFDCE6F1"/>
        </patternFill>
      </fill>
    </dxf>
    <dxf>
      <fill>
        <patternFill>
          <bgColor rgb="FFDCE6F1"/>
        </patternFill>
      </fill>
    </dxf>
    <dxf>
      <fill>
        <patternFill>
          <bgColor rgb="FFDCE6F1"/>
        </patternFill>
      </fill>
    </dxf>
    <dxf>
      <font>
        <color theme="3" tint="0.89996032593768116"/>
      </font>
    </dxf>
    <dxf>
      <fill>
        <patternFill>
          <bgColor rgb="FFDCE6F1"/>
        </patternFill>
      </fill>
    </dxf>
    <dxf>
      <fill>
        <patternFill>
          <bgColor rgb="FFDCE6F1"/>
        </patternFill>
      </fill>
    </dxf>
    <dxf>
      <fill>
        <patternFill>
          <bgColor rgb="FFDCE6F1"/>
        </patternFill>
      </fill>
    </dxf>
    <dxf>
      <fill>
        <patternFill>
          <bgColor rgb="FFDCE6F1"/>
        </patternFill>
      </fill>
    </dxf>
  </dxfs>
  <tableStyles count="0" defaultTableStyle="TableStyleMedium2" defaultPivotStyle="PivotStyleLight16"/>
  <colors>
    <mruColors>
      <color rgb="FFDCE6F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alcChain" Target="calcChain.xml"/><Relationship Id="rId2" Type="http://schemas.openxmlformats.org/officeDocument/2006/relationships/worksheet" Target="worksheets/sheet2.xml"/><Relationship Id="rId16" Type="http://schemas.microsoft.com/office/2017/10/relationships/person" Target="persons/person.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emf"/></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xdr:col>
      <xdr:colOff>82550</xdr:colOff>
      <xdr:row>2</xdr:row>
      <xdr:rowOff>178879</xdr:rowOff>
    </xdr:from>
    <xdr:to>
      <xdr:col>2</xdr:col>
      <xdr:colOff>7145338</xdr:colOff>
      <xdr:row>8</xdr:row>
      <xdr:rowOff>48644</xdr:rowOff>
    </xdr:to>
    <xdr:pic>
      <xdr:nvPicPr>
        <xdr:cNvPr id="3" name="Afbeelding 2">
          <a:extLst>
            <a:ext uri="{FF2B5EF4-FFF2-40B4-BE49-F238E27FC236}">
              <a16:creationId xmlns:a16="http://schemas.microsoft.com/office/drawing/2014/main" id="{4FB226BB-1F71-2488-6B11-C74188D6AA75}"/>
            </a:ext>
          </a:extLst>
        </xdr:cNvPr>
        <xdr:cNvPicPr>
          <a:picLocks noChangeAspect="1"/>
        </xdr:cNvPicPr>
      </xdr:nvPicPr>
      <xdr:blipFill>
        <a:blip xmlns:r="http://schemas.openxmlformats.org/officeDocument/2006/relationships" r:embed="rId1"/>
        <a:stretch>
          <a:fillRect/>
        </a:stretch>
      </xdr:blipFill>
      <xdr:spPr>
        <a:xfrm>
          <a:off x="920750" y="553529"/>
          <a:ext cx="7062788" cy="974665"/>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7</xdr:col>
      <xdr:colOff>19050</xdr:colOff>
      <xdr:row>0</xdr:row>
      <xdr:rowOff>133351</xdr:rowOff>
    </xdr:from>
    <xdr:to>
      <xdr:col>10</xdr:col>
      <xdr:colOff>592138</xdr:colOff>
      <xdr:row>4</xdr:row>
      <xdr:rowOff>85971</xdr:rowOff>
    </xdr:to>
    <xdr:pic>
      <xdr:nvPicPr>
        <xdr:cNvPr id="2" name="Afbeelding 1">
          <a:extLst>
            <a:ext uri="{FF2B5EF4-FFF2-40B4-BE49-F238E27FC236}">
              <a16:creationId xmlns:a16="http://schemas.microsoft.com/office/drawing/2014/main" id="{43263B0B-C79D-4394-B9CC-730A2CBE51BF}"/>
            </a:ext>
          </a:extLst>
        </xdr:cNvPr>
        <xdr:cNvPicPr>
          <a:picLocks noChangeAspect="1"/>
        </xdr:cNvPicPr>
      </xdr:nvPicPr>
      <xdr:blipFill>
        <a:blip xmlns:r="http://schemas.openxmlformats.org/officeDocument/2006/relationships" r:embed="rId1"/>
        <a:stretch>
          <a:fillRect/>
        </a:stretch>
      </xdr:blipFill>
      <xdr:spPr>
        <a:xfrm>
          <a:off x="7283450" y="133351"/>
          <a:ext cx="5132388" cy="70827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241300</xdr:colOff>
      <xdr:row>0</xdr:row>
      <xdr:rowOff>88900</xdr:rowOff>
    </xdr:from>
    <xdr:to>
      <xdr:col>1</xdr:col>
      <xdr:colOff>7031038</xdr:colOff>
      <xdr:row>5</xdr:row>
      <xdr:rowOff>142815</xdr:rowOff>
    </xdr:to>
    <xdr:pic>
      <xdr:nvPicPr>
        <xdr:cNvPr id="2" name="Afbeelding 1">
          <a:extLst>
            <a:ext uri="{FF2B5EF4-FFF2-40B4-BE49-F238E27FC236}">
              <a16:creationId xmlns:a16="http://schemas.microsoft.com/office/drawing/2014/main" id="{040C960E-12AB-4750-A084-0AFFAA67462C}"/>
            </a:ext>
          </a:extLst>
        </xdr:cNvPr>
        <xdr:cNvPicPr>
          <a:picLocks noChangeAspect="1"/>
        </xdr:cNvPicPr>
      </xdr:nvPicPr>
      <xdr:blipFill>
        <a:blip xmlns:r="http://schemas.openxmlformats.org/officeDocument/2006/relationships" r:embed="rId1"/>
        <a:stretch>
          <a:fillRect/>
        </a:stretch>
      </xdr:blipFill>
      <xdr:spPr>
        <a:xfrm>
          <a:off x="241300" y="88900"/>
          <a:ext cx="7062788" cy="97466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4</xdr:col>
      <xdr:colOff>190500</xdr:colOff>
      <xdr:row>26</xdr:row>
      <xdr:rowOff>123825</xdr:rowOff>
    </xdr:from>
    <xdr:to>
      <xdr:col>6</xdr:col>
      <xdr:colOff>497182</xdr:colOff>
      <xdr:row>28</xdr:row>
      <xdr:rowOff>38100</xdr:rowOff>
    </xdr:to>
    <xdr:sp macro="" textlink="">
      <xdr:nvSpPr>
        <xdr:cNvPr id="5" name="OptionButton7" hidden="1">
          <a:extLst>
            <a:ext uri="{63B3BB69-23CF-44E3-9099-C40C66FF867C}">
              <a14:compatExt xmlns:a14="http://schemas.microsoft.com/office/drawing/2010/main" spid="_x0000_s2051"/>
            </a:ext>
            <a:ext uri="{FF2B5EF4-FFF2-40B4-BE49-F238E27FC236}">
              <a16:creationId xmlns:a16="http://schemas.microsoft.com/office/drawing/2014/main" id="{7AE61815-E83F-4154-B46C-BA0F8BD23AAF}"/>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4</xdr:col>
      <xdr:colOff>190500</xdr:colOff>
      <xdr:row>29</xdr:row>
      <xdr:rowOff>114300</xdr:rowOff>
    </xdr:from>
    <xdr:to>
      <xdr:col>6</xdr:col>
      <xdr:colOff>497182</xdr:colOff>
      <xdr:row>31</xdr:row>
      <xdr:rowOff>25401</xdr:rowOff>
    </xdr:to>
    <xdr:sp macro="" textlink="">
      <xdr:nvSpPr>
        <xdr:cNvPr id="6" name="OptionButton8" hidden="1">
          <a:extLst>
            <a:ext uri="{63B3BB69-23CF-44E3-9099-C40C66FF867C}">
              <a14:compatExt xmlns:a14="http://schemas.microsoft.com/office/drawing/2010/main" spid="_x0000_s2052"/>
            </a:ext>
            <a:ext uri="{FF2B5EF4-FFF2-40B4-BE49-F238E27FC236}">
              <a16:creationId xmlns:a16="http://schemas.microsoft.com/office/drawing/2014/main" id="{E96C3A83-D631-40D5-83AC-3F3C52536843}"/>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6</xdr:col>
      <xdr:colOff>1019175</xdr:colOff>
      <xdr:row>26</xdr:row>
      <xdr:rowOff>123825</xdr:rowOff>
    </xdr:from>
    <xdr:to>
      <xdr:col>9</xdr:col>
      <xdr:colOff>677887</xdr:colOff>
      <xdr:row>28</xdr:row>
      <xdr:rowOff>38100</xdr:rowOff>
    </xdr:to>
    <xdr:sp macro="" textlink="">
      <xdr:nvSpPr>
        <xdr:cNvPr id="7" name="OptionButton9" hidden="1">
          <a:extLst>
            <a:ext uri="{63B3BB69-23CF-44E3-9099-C40C66FF867C}">
              <a14:compatExt xmlns:a14="http://schemas.microsoft.com/office/drawing/2010/main" spid="_x0000_s2053"/>
            </a:ext>
            <a:ext uri="{FF2B5EF4-FFF2-40B4-BE49-F238E27FC236}">
              <a16:creationId xmlns:a16="http://schemas.microsoft.com/office/drawing/2014/main" id="{62B745C2-EAF5-406C-8E97-B43B7CBB44D0}"/>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6</xdr:col>
      <xdr:colOff>1019175</xdr:colOff>
      <xdr:row>29</xdr:row>
      <xdr:rowOff>114300</xdr:rowOff>
    </xdr:from>
    <xdr:to>
      <xdr:col>9</xdr:col>
      <xdr:colOff>677887</xdr:colOff>
      <xdr:row>31</xdr:row>
      <xdr:rowOff>25401</xdr:rowOff>
    </xdr:to>
    <xdr:sp macro="" textlink="">
      <xdr:nvSpPr>
        <xdr:cNvPr id="8" name="OptionButton10" hidden="1">
          <a:extLst>
            <a:ext uri="{63B3BB69-23CF-44E3-9099-C40C66FF867C}">
              <a14:compatExt xmlns:a14="http://schemas.microsoft.com/office/drawing/2010/main" spid="_x0000_s2054"/>
            </a:ext>
            <a:ext uri="{FF2B5EF4-FFF2-40B4-BE49-F238E27FC236}">
              <a16:creationId xmlns:a16="http://schemas.microsoft.com/office/drawing/2014/main" id="{D73B862F-FB80-4B37-95D2-23036B33AD14}"/>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8</xdr:col>
      <xdr:colOff>790575</xdr:colOff>
      <xdr:row>26</xdr:row>
      <xdr:rowOff>85725</xdr:rowOff>
    </xdr:from>
    <xdr:to>
      <xdr:col>11</xdr:col>
      <xdr:colOff>146049</xdr:colOff>
      <xdr:row>28</xdr:row>
      <xdr:rowOff>139</xdr:rowOff>
    </xdr:to>
    <xdr:sp macro="" textlink="">
      <xdr:nvSpPr>
        <xdr:cNvPr id="9" name="OptionButton11" hidden="1">
          <a:extLst>
            <a:ext uri="{63B3BB69-23CF-44E3-9099-C40C66FF867C}">
              <a14:compatExt xmlns:a14="http://schemas.microsoft.com/office/drawing/2010/main" spid="_x0000_s2055"/>
            </a:ext>
            <a:ext uri="{FF2B5EF4-FFF2-40B4-BE49-F238E27FC236}">
              <a16:creationId xmlns:a16="http://schemas.microsoft.com/office/drawing/2014/main" id="{488BD895-7C9E-4238-92C5-8FA1D535D797}"/>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4</xdr:col>
      <xdr:colOff>190500</xdr:colOff>
      <xdr:row>33</xdr:row>
      <xdr:rowOff>47625</xdr:rowOff>
    </xdr:from>
    <xdr:to>
      <xdr:col>6</xdr:col>
      <xdr:colOff>865121</xdr:colOff>
      <xdr:row>34</xdr:row>
      <xdr:rowOff>111126</xdr:rowOff>
    </xdr:to>
    <xdr:sp macro="" textlink="">
      <xdr:nvSpPr>
        <xdr:cNvPr id="10" name="OptionButton12" hidden="1">
          <a:extLst>
            <a:ext uri="{63B3BB69-23CF-44E3-9099-C40C66FF867C}">
              <a14:compatExt xmlns:a14="http://schemas.microsoft.com/office/drawing/2010/main" spid="_x0000_s2056"/>
            </a:ext>
            <a:ext uri="{FF2B5EF4-FFF2-40B4-BE49-F238E27FC236}">
              <a16:creationId xmlns:a16="http://schemas.microsoft.com/office/drawing/2014/main" id="{E56E4EA2-867A-41F4-B156-B0FA6E8DD61C}"/>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6</xdr:col>
      <xdr:colOff>1019175</xdr:colOff>
      <xdr:row>33</xdr:row>
      <xdr:rowOff>47625</xdr:rowOff>
    </xdr:from>
    <xdr:to>
      <xdr:col>10</xdr:col>
      <xdr:colOff>159630</xdr:colOff>
      <xdr:row>34</xdr:row>
      <xdr:rowOff>111126</xdr:rowOff>
    </xdr:to>
    <xdr:sp macro="" textlink="">
      <xdr:nvSpPr>
        <xdr:cNvPr id="11" name="OptionButton13" hidden="1">
          <a:extLst>
            <a:ext uri="{63B3BB69-23CF-44E3-9099-C40C66FF867C}">
              <a14:compatExt xmlns:a14="http://schemas.microsoft.com/office/drawing/2010/main" spid="_x0000_s2057"/>
            </a:ext>
            <a:ext uri="{FF2B5EF4-FFF2-40B4-BE49-F238E27FC236}">
              <a16:creationId xmlns:a16="http://schemas.microsoft.com/office/drawing/2014/main" id="{057B07C1-6519-4D2D-99FC-9DD3E1D9F06C}"/>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4</xdr:col>
      <xdr:colOff>190500</xdr:colOff>
      <xdr:row>49</xdr:row>
      <xdr:rowOff>152400</xdr:rowOff>
    </xdr:from>
    <xdr:to>
      <xdr:col>6</xdr:col>
      <xdr:colOff>865121</xdr:colOff>
      <xdr:row>51</xdr:row>
      <xdr:rowOff>69849</xdr:rowOff>
    </xdr:to>
    <xdr:sp macro="" textlink="">
      <xdr:nvSpPr>
        <xdr:cNvPr id="12" name="CheckBox1" hidden="1">
          <a:extLst>
            <a:ext uri="{63B3BB69-23CF-44E3-9099-C40C66FF867C}">
              <a14:compatExt xmlns:a14="http://schemas.microsoft.com/office/drawing/2010/main" spid="_x0000_s2058"/>
            </a:ext>
            <a:ext uri="{FF2B5EF4-FFF2-40B4-BE49-F238E27FC236}">
              <a16:creationId xmlns:a16="http://schemas.microsoft.com/office/drawing/2014/main" id="{91E7ECDA-254F-4191-9110-6497C87E6E2E}"/>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4</xdr:col>
      <xdr:colOff>190500</xdr:colOff>
      <xdr:row>51</xdr:row>
      <xdr:rowOff>161925</xdr:rowOff>
    </xdr:from>
    <xdr:to>
      <xdr:col>6</xdr:col>
      <xdr:colOff>865121</xdr:colOff>
      <xdr:row>53</xdr:row>
      <xdr:rowOff>85725</xdr:rowOff>
    </xdr:to>
    <xdr:sp macro="" textlink="">
      <xdr:nvSpPr>
        <xdr:cNvPr id="13" name="CheckBox2" hidden="1">
          <a:extLst>
            <a:ext uri="{63B3BB69-23CF-44E3-9099-C40C66FF867C}">
              <a14:compatExt xmlns:a14="http://schemas.microsoft.com/office/drawing/2010/main" spid="_x0000_s2059"/>
            </a:ext>
            <a:ext uri="{FF2B5EF4-FFF2-40B4-BE49-F238E27FC236}">
              <a16:creationId xmlns:a16="http://schemas.microsoft.com/office/drawing/2014/main" id="{BB04DA56-B411-4AC5-913D-31DF2D5448AD}"/>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3</xdr:col>
      <xdr:colOff>190500</xdr:colOff>
      <xdr:row>36</xdr:row>
      <xdr:rowOff>0</xdr:rowOff>
    </xdr:from>
    <xdr:to>
      <xdr:col>3</xdr:col>
      <xdr:colOff>3897711</xdr:colOff>
      <xdr:row>37</xdr:row>
      <xdr:rowOff>76200</xdr:rowOff>
    </xdr:to>
    <xdr:sp macro="" textlink="">
      <xdr:nvSpPr>
        <xdr:cNvPr id="14" name="CheckBox3" hidden="1">
          <a:extLst>
            <a:ext uri="{63B3BB69-23CF-44E3-9099-C40C66FF867C}">
              <a14:compatExt xmlns:a14="http://schemas.microsoft.com/office/drawing/2010/main" spid="_x0000_s2060"/>
            </a:ext>
            <a:ext uri="{FF2B5EF4-FFF2-40B4-BE49-F238E27FC236}">
              <a16:creationId xmlns:a16="http://schemas.microsoft.com/office/drawing/2014/main" id="{3750538C-AF68-4BA4-AF22-42E0A5498F01}"/>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4</xdr:col>
      <xdr:colOff>190500</xdr:colOff>
      <xdr:row>88</xdr:row>
      <xdr:rowOff>28575</xdr:rowOff>
    </xdr:from>
    <xdr:to>
      <xdr:col>6</xdr:col>
      <xdr:colOff>865121</xdr:colOff>
      <xdr:row>89</xdr:row>
      <xdr:rowOff>107949</xdr:rowOff>
    </xdr:to>
    <xdr:sp macro="" textlink="">
      <xdr:nvSpPr>
        <xdr:cNvPr id="15" name="OptionButton14" hidden="1">
          <a:extLst>
            <a:ext uri="{63B3BB69-23CF-44E3-9099-C40C66FF867C}">
              <a14:compatExt xmlns:a14="http://schemas.microsoft.com/office/drawing/2010/main" spid="_x0000_s2061"/>
            </a:ext>
            <a:ext uri="{FF2B5EF4-FFF2-40B4-BE49-F238E27FC236}">
              <a16:creationId xmlns:a16="http://schemas.microsoft.com/office/drawing/2014/main" id="{DC43B7CA-FA60-427F-B236-385CC08A7D3A}"/>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6</xdr:col>
      <xdr:colOff>1019175</xdr:colOff>
      <xdr:row>88</xdr:row>
      <xdr:rowOff>28575</xdr:rowOff>
    </xdr:from>
    <xdr:to>
      <xdr:col>10</xdr:col>
      <xdr:colOff>159630</xdr:colOff>
      <xdr:row>89</xdr:row>
      <xdr:rowOff>88899</xdr:rowOff>
    </xdr:to>
    <xdr:sp macro="" textlink="">
      <xdr:nvSpPr>
        <xdr:cNvPr id="16" name="OptionButton15" hidden="1">
          <a:extLst>
            <a:ext uri="{63B3BB69-23CF-44E3-9099-C40C66FF867C}">
              <a14:compatExt xmlns:a14="http://schemas.microsoft.com/office/drawing/2010/main" spid="_x0000_s2062"/>
            </a:ext>
            <a:ext uri="{FF2B5EF4-FFF2-40B4-BE49-F238E27FC236}">
              <a16:creationId xmlns:a16="http://schemas.microsoft.com/office/drawing/2014/main" id="{F024B796-FDC2-4935-90D4-EB6DC27C32A0}"/>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4</xdr:col>
      <xdr:colOff>190500</xdr:colOff>
      <xdr:row>94</xdr:row>
      <xdr:rowOff>114300</xdr:rowOff>
    </xdr:from>
    <xdr:to>
      <xdr:col>6</xdr:col>
      <xdr:colOff>865121</xdr:colOff>
      <xdr:row>96</xdr:row>
      <xdr:rowOff>38100</xdr:rowOff>
    </xdr:to>
    <xdr:sp macro="" textlink="">
      <xdr:nvSpPr>
        <xdr:cNvPr id="17" name="OptionButton21" hidden="1">
          <a:extLst>
            <a:ext uri="{63B3BB69-23CF-44E3-9099-C40C66FF867C}">
              <a14:compatExt xmlns:a14="http://schemas.microsoft.com/office/drawing/2010/main" spid="_x0000_s2063"/>
            </a:ext>
            <a:ext uri="{FF2B5EF4-FFF2-40B4-BE49-F238E27FC236}">
              <a16:creationId xmlns:a16="http://schemas.microsoft.com/office/drawing/2014/main" id="{D2FDFF13-00A2-44FB-BF1B-205F206D234D}"/>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6</xdr:col>
      <xdr:colOff>1019175</xdr:colOff>
      <xdr:row>94</xdr:row>
      <xdr:rowOff>114300</xdr:rowOff>
    </xdr:from>
    <xdr:to>
      <xdr:col>10</xdr:col>
      <xdr:colOff>159630</xdr:colOff>
      <xdr:row>96</xdr:row>
      <xdr:rowOff>28575</xdr:rowOff>
    </xdr:to>
    <xdr:sp macro="" textlink="">
      <xdr:nvSpPr>
        <xdr:cNvPr id="18" name="OptionButton22" hidden="1">
          <a:extLst>
            <a:ext uri="{63B3BB69-23CF-44E3-9099-C40C66FF867C}">
              <a14:compatExt xmlns:a14="http://schemas.microsoft.com/office/drawing/2010/main" spid="_x0000_s2064"/>
            </a:ext>
            <a:ext uri="{FF2B5EF4-FFF2-40B4-BE49-F238E27FC236}">
              <a16:creationId xmlns:a16="http://schemas.microsoft.com/office/drawing/2014/main" id="{74EB338B-0C56-40B3-8A46-8955DF1E6A36}"/>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3</xdr:col>
      <xdr:colOff>4181475</xdr:colOff>
      <xdr:row>99</xdr:row>
      <xdr:rowOff>0</xdr:rowOff>
    </xdr:from>
    <xdr:to>
      <xdr:col>4</xdr:col>
      <xdr:colOff>668959</xdr:colOff>
      <xdr:row>100</xdr:row>
      <xdr:rowOff>53975</xdr:rowOff>
    </xdr:to>
    <xdr:sp macro="" textlink="">
      <xdr:nvSpPr>
        <xdr:cNvPr id="19" name="CheckBox4" hidden="1">
          <a:extLst>
            <a:ext uri="{63B3BB69-23CF-44E3-9099-C40C66FF867C}">
              <a14:compatExt xmlns:a14="http://schemas.microsoft.com/office/drawing/2010/main" spid="_x0000_s2065"/>
            </a:ext>
            <a:ext uri="{FF2B5EF4-FFF2-40B4-BE49-F238E27FC236}">
              <a16:creationId xmlns:a16="http://schemas.microsoft.com/office/drawing/2014/main" id="{FB299BEC-7CE3-4E61-8F0A-930EDD602A45}"/>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3</xdr:col>
      <xdr:colOff>4181475</xdr:colOff>
      <xdr:row>100</xdr:row>
      <xdr:rowOff>0</xdr:rowOff>
    </xdr:from>
    <xdr:to>
      <xdr:col>3</xdr:col>
      <xdr:colOff>6736936</xdr:colOff>
      <xdr:row>101</xdr:row>
      <xdr:rowOff>66675</xdr:rowOff>
    </xdr:to>
    <xdr:sp macro="" textlink="">
      <xdr:nvSpPr>
        <xdr:cNvPr id="20" name="CheckBox5" hidden="1">
          <a:extLst>
            <a:ext uri="{63B3BB69-23CF-44E3-9099-C40C66FF867C}">
              <a14:compatExt xmlns:a14="http://schemas.microsoft.com/office/drawing/2010/main" spid="_x0000_s2066"/>
            </a:ext>
            <a:ext uri="{FF2B5EF4-FFF2-40B4-BE49-F238E27FC236}">
              <a16:creationId xmlns:a16="http://schemas.microsoft.com/office/drawing/2014/main" id="{43A87C79-DF18-4F2E-8DAE-EC8870426E24}"/>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4</xdr:col>
      <xdr:colOff>190500</xdr:colOff>
      <xdr:row>104</xdr:row>
      <xdr:rowOff>28575</xdr:rowOff>
    </xdr:from>
    <xdr:to>
      <xdr:col>6</xdr:col>
      <xdr:colOff>865121</xdr:colOff>
      <xdr:row>105</xdr:row>
      <xdr:rowOff>95250</xdr:rowOff>
    </xdr:to>
    <xdr:sp macro="" textlink="">
      <xdr:nvSpPr>
        <xdr:cNvPr id="21" name="OptionButton25" hidden="1">
          <a:extLst>
            <a:ext uri="{63B3BB69-23CF-44E3-9099-C40C66FF867C}">
              <a14:compatExt xmlns:a14="http://schemas.microsoft.com/office/drawing/2010/main" spid="_x0000_s2067"/>
            </a:ext>
            <a:ext uri="{FF2B5EF4-FFF2-40B4-BE49-F238E27FC236}">
              <a16:creationId xmlns:a16="http://schemas.microsoft.com/office/drawing/2014/main" id="{35F578AF-05E6-4DBC-84AC-FB74234BD758}"/>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6</xdr:col>
      <xdr:colOff>1019175</xdr:colOff>
      <xdr:row>104</xdr:row>
      <xdr:rowOff>28575</xdr:rowOff>
    </xdr:from>
    <xdr:to>
      <xdr:col>10</xdr:col>
      <xdr:colOff>159630</xdr:colOff>
      <xdr:row>105</xdr:row>
      <xdr:rowOff>95250</xdr:rowOff>
    </xdr:to>
    <xdr:sp macro="" textlink="">
      <xdr:nvSpPr>
        <xdr:cNvPr id="22" name="OptionButton26" hidden="1">
          <a:extLst>
            <a:ext uri="{63B3BB69-23CF-44E3-9099-C40C66FF867C}">
              <a14:compatExt xmlns:a14="http://schemas.microsoft.com/office/drawing/2010/main" spid="_x0000_s2068"/>
            </a:ext>
            <a:ext uri="{FF2B5EF4-FFF2-40B4-BE49-F238E27FC236}">
              <a16:creationId xmlns:a16="http://schemas.microsoft.com/office/drawing/2014/main" id="{D9BACA3E-E378-477A-B221-38DA5387007E}"/>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3</xdr:col>
      <xdr:colOff>190500</xdr:colOff>
      <xdr:row>107</xdr:row>
      <xdr:rowOff>114300</xdr:rowOff>
    </xdr:from>
    <xdr:to>
      <xdr:col>3</xdr:col>
      <xdr:colOff>1905001</xdr:colOff>
      <xdr:row>109</xdr:row>
      <xdr:rowOff>28576</xdr:rowOff>
    </xdr:to>
    <xdr:sp macro="" textlink="">
      <xdr:nvSpPr>
        <xdr:cNvPr id="23" name="CheckBox6" hidden="1">
          <a:extLst>
            <a:ext uri="{63B3BB69-23CF-44E3-9099-C40C66FF867C}">
              <a14:compatExt xmlns:a14="http://schemas.microsoft.com/office/drawing/2010/main" spid="_x0000_s2069"/>
            </a:ext>
            <a:ext uri="{FF2B5EF4-FFF2-40B4-BE49-F238E27FC236}">
              <a16:creationId xmlns:a16="http://schemas.microsoft.com/office/drawing/2014/main" id="{51563797-FED8-41F5-971C-B73C2A0A69E3}"/>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3</xdr:col>
      <xdr:colOff>190500</xdr:colOff>
      <xdr:row>110</xdr:row>
      <xdr:rowOff>28575</xdr:rowOff>
    </xdr:from>
    <xdr:to>
      <xdr:col>3</xdr:col>
      <xdr:colOff>1905001</xdr:colOff>
      <xdr:row>111</xdr:row>
      <xdr:rowOff>95249</xdr:rowOff>
    </xdr:to>
    <xdr:sp macro="" textlink="">
      <xdr:nvSpPr>
        <xdr:cNvPr id="24" name="CheckBox7" hidden="1">
          <a:extLst>
            <a:ext uri="{63B3BB69-23CF-44E3-9099-C40C66FF867C}">
              <a14:compatExt xmlns:a14="http://schemas.microsoft.com/office/drawing/2010/main" spid="_x0000_s2070"/>
            </a:ext>
            <a:ext uri="{FF2B5EF4-FFF2-40B4-BE49-F238E27FC236}">
              <a16:creationId xmlns:a16="http://schemas.microsoft.com/office/drawing/2014/main" id="{E534117D-A1CE-459B-A4B5-09CCAB0E5A6B}"/>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4</xdr:col>
      <xdr:colOff>190500</xdr:colOff>
      <xdr:row>112</xdr:row>
      <xdr:rowOff>0</xdr:rowOff>
    </xdr:from>
    <xdr:to>
      <xdr:col>4</xdr:col>
      <xdr:colOff>1907823</xdr:colOff>
      <xdr:row>113</xdr:row>
      <xdr:rowOff>63500</xdr:rowOff>
    </xdr:to>
    <xdr:sp macro="" textlink="">
      <xdr:nvSpPr>
        <xdr:cNvPr id="25" name="CheckBox8" hidden="1">
          <a:extLst>
            <a:ext uri="{63B3BB69-23CF-44E3-9099-C40C66FF867C}">
              <a14:compatExt xmlns:a14="http://schemas.microsoft.com/office/drawing/2010/main" spid="_x0000_s2071"/>
            </a:ext>
            <a:ext uri="{FF2B5EF4-FFF2-40B4-BE49-F238E27FC236}">
              <a16:creationId xmlns:a16="http://schemas.microsoft.com/office/drawing/2014/main" id="{3E55B344-EF9A-48C3-9285-2803A073D12C}"/>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4</xdr:col>
      <xdr:colOff>190500</xdr:colOff>
      <xdr:row>113</xdr:row>
      <xdr:rowOff>142875</xdr:rowOff>
    </xdr:from>
    <xdr:to>
      <xdr:col>6</xdr:col>
      <xdr:colOff>865121</xdr:colOff>
      <xdr:row>115</xdr:row>
      <xdr:rowOff>53975</xdr:rowOff>
    </xdr:to>
    <xdr:sp macro="" textlink="">
      <xdr:nvSpPr>
        <xdr:cNvPr id="26" name="OptionButton27" hidden="1">
          <a:extLst>
            <a:ext uri="{63B3BB69-23CF-44E3-9099-C40C66FF867C}">
              <a14:compatExt xmlns:a14="http://schemas.microsoft.com/office/drawing/2010/main" spid="_x0000_s2072"/>
            </a:ext>
            <a:ext uri="{FF2B5EF4-FFF2-40B4-BE49-F238E27FC236}">
              <a16:creationId xmlns:a16="http://schemas.microsoft.com/office/drawing/2014/main" id="{08D01696-DB02-4594-A3ED-2A6469B46CD9}"/>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6</xdr:col>
      <xdr:colOff>1019175</xdr:colOff>
      <xdr:row>113</xdr:row>
      <xdr:rowOff>142875</xdr:rowOff>
    </xdr:from>
    <xdr:to>
      <xdr:col>10</xdr:col>
      <xdr:colOff>159630</xdr:colOff>
      <xdr:row>115</xdr:row>
      <xdr:rowOff>53975</xdr:rowOff>
    </xdr:to>
    <xdr:sp macro="" textlink="">
      <xdr:nvSpPr>
        <xdr:cNvPr id="27" name="OptionButton28" hidden="1">
          <a:extLst>
            <a:ext uri="{63B3BB69-23CF-44E3-9099-C40C66FF867C}">
              <a14:compatExt xmlns:a14="http://schemas.microsoft.com/office/drawing/2010/main" spid="_x0000_s2073"/>
            </a:ext>
            <a:ext uri="{FF2B5EF4-FFF2-40B4-BE49-F238E27FC236}">
              <a16:creationId xmlns:a16="http://schemas.microsoft.com/office/drawing/2014/main" id="{7AE2DF76-1EE9-4A7C-8E11-AC5F206963EA}"/>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3</xdr:col>
      <xdr:colOff>190500</xdr:colOff>
      <xdr:row>125</xdr:row>
      <xdr:rowOff>161925</xdr:rowOff>
    </xdr:from>
    <xdr:to>
      <xdr:col>3</xdr:col>
      <xdr:colOff>1905001</xdr:colOff>
      <xdr:row>127</xdr:row>
      <xdr:rowOff>57151</xdr:rowOff>
    </xdr:to>
    <xdr:sp macro="" textlink="">
      <xdr:nvSpPr>
        <xdr:cNvPr id="28" name="CheckBox9" hidden="1">
          <a:extLst>
            <a:ext uri="{63B3BB69-23CF-44E3-9099-C40C66FF867C}">
              <a14:compatExt xmlns:a14="http://schemas.microsoft.com/office/drawing/2010/main" spid="_x0000_s2074"/>
            </a:ext>
            <a:ext uri="{FF2B5EF4-FFF2-40B4-BE49-F238E27FC236}">
              <a16:creationId xmlns:a16="http://schemas.microsoft.com/office/drawing/2014/main" id="{43BFD336-AD15-4AFA-A9A2-FBE47914277E}"/>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3</xdr:col>
      <xdr:colOff>190500</xdr:colOff>
      <xdr:row>127</xdr:row>
      <xdr:rowOff>180975</xdr:rowOff>
    </xdr:from>
    <xdr:to>
      <xdr:col>3</xdr:col>
      <xdr:colOff>1905001</xdr:colOff>
      <xdr:row>129</xdr:row>
      <xdr:rowOff>57149</xdr:rowOff>
    </xdr:to>
    <xdr:sp macro="" textlink="">
      <xdr:nvSpPr>
        <xdr:cNvPr id="29" name="CheckBox10" hidden="1">
          <a:extLst>
            <a:ext uri="{63B3BB69-23CF-44E3-9099-C40C66FF867C}">
              <a14:compatExt xmlns:a14="http://schemas.microsoft.com/office/drawing/2010/main" spid="_x0000_s2075"/>
            </a:ext>
            <a:ext uri="{FF2B5EF4-FFF2-40B4-BE49-F238E27FC236}">
              <a16:creationId xmlns:a16="http://schemas.microsoft.com/office/drawing/2014/main" id="{BFE5F6F8-CBEE-4449-A674-0FC361E5E92B}"/>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4</xdr:col>
      <xdr:colOff>190500</xdr:colOff>
      <xdr:row>129</xdr:row>
      <xdr:rowOff>0</xdr:rowOff>
    </xdr:from>
    <xdr:to>
      <xdr:col>4</xdr:col>
      <xdr:colOff>1907823</xdr:colOff>
      <xdr:row>130</xdr:row>
      <xdr:rowOff>63501</xdr:rowOff>
    </xdr:to>
    <xdr:sp macro="" textlink="">
      <xdr:nvSpPr>
        <xdr:cNvPr id="30" name="CheckBox11" hidden="1">
          <a:extLst>
            <a:ext uri="{63B3BB69-23CF-44E3-9099-C40C66FF867C}">
              <a14:compatExt xmlns:a14="http://schemas.microsoft.com/office/drawing/2010/main" spid="_x0000_s2076"/>
            </a:ext>
            <a:ext uri="{FF2B5EF4-FFF2-40B4-BE49-F238E27FC236}">
              <a16:creationId xmlns:a16="http://schemas.microsoft.com/office/drawing/2014/main" id="{94691734-3198-4A42-A863-EAC270B80B48}"/>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4</xdr:col>
      <xdr:colOff>190500</xdr:colOff>
      <xdr:row>129</xdr:row>
      <xdr:rowOff>123825</xdr:rowOff>
    </xdr:from>
    <xdr:to>
      <xdr:col>6</xdr:col>
      <xdr:colOff>1562393</xdr:colOff>
      <xdr:row>131</xdr:row>
      <xdr:rowOff>38100</xdr:rowOff>
    </xdr:to>
    <xdr:sp macro="" textlink="">
      <xdr:nvSpPr>
        <xdr:cNvPr id="31" name="OptionButton31" hidden="1">
          <a:extLst>
            <a:ext uri="{63B3BB69-23CF-44E3-9099-C40C66FF867C}">
              <a14:compatExt xmlns:a14="http://schemas.microsoft.com/office/drawing/2010/main" spid="_x0000_s2077"/>
            </a:ext>
            <a:ext uri="{FF2B5EF4-FFF2-40B4-BE49-F238E27FC236}">
              <a16:creationId xmlns:a16="http://schemas.microsoft.com/office/drawing/2014/main" id="{E647EE9F-77C5-4CD1-BCDF-ABE54DDDC8A7}"/>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6</xdr:col>
      <xdr:colOff>1019175</xdr:colOff>
      <xdr:row>129</xdr:row>
      <xdr:rowOff>123825</xdr:rowOff>
    </xdr:from>
    <xdr:to>
      <xdr:col>10</xdr:col>
      <xdr:colOff>159630</xdr:colOff>
      <xdr:row>131</xdr:row>
      <xdr:rowOff>38100</xdr:rowOff>
    </xdr:to>
    <xdr:sp macro="" textlink="">
      <xdr:nvSpPr>
        <xdr:cNvPr id="32" name="OptionButton32" hidden="1">
          <a:extLst>
            <a:ext uri="{63B3BB69-23CF-44E3-9099-C40C66FF867C}">
              <a14:compatExt xmlns:a14="http://schemas.microsoft.com/office/drawing/2010/main" spid="_x0000_s2078"/>
            </a:ext>
            <a:ext uri="{FF2B5EF4-FFF2-40B4-BE49-F238E27FC236}">
              <a16:creationId xmlns:a16="http://schemas.microsoft.com/office/drawing/2014/main" id="{81F7DCF9-1AAE-4279-AB4B-4DA4320586DB}"/>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4</xdr:col>
      <xdr:colOff>190500</xdr:colOff>
      <xdr:row>123</xdr:row>
      <xdr:rowOff>28575</xdr:rowOff>
    </xdr:from>
    <xdr:to>
      <xdr:col>6</xdr:col>
      <xdr:colOff>1562393</xdr:colOff>
      <xdr:row>124</xdr:row>
      <xdr:rowOff>95250</xdr:rowOff>
    </xdr:to>
    <xdr:sp macro="" textlink="">
      <xdr:nvSpPr>
        <xdr:cNvPr id="33" name="OptionButton29" hidden="1">
          <a:extLst>
            <a:ext uri="{63B3BB69-23CF-44E3-9099-C40C66FF867C}">
              <a14:compatExt xmlns:a14="http://schemas.microsoft.com/office/drawing/2010/main" spid="_x0000_s2079"/>
            </a:ext>
            <a:ext uri="{FF2B5EF4-FFF2-40B4-BE49-F238E27FC236}">
              <a16:creationId xmlns:a16="http://schemas.microsoft.com/office/drawing/2014/main" id="{12A53D2A-215D-4EFA-AAFE-8CFE44FE4157}"/>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6</xdr:col>
      <xdr:colOff>1038225</xdr:colOff>
      <xdr:row>123</xdr:row>
      <xdr:rowOff>28575</xdr:rowOff>
    </xdr:from>
    <xdr:to>
      <xdr:col>10</xdr:col>
      <xdr:colOff>159630</xdr:colOff>
      <xdr:row>124</xdr:row>
      <xdr:rowOff>95250</xdr:rowOff>
    </xdr:to>
    <xdr:sp macro="" textlink="">
      <xdr:nvSpPr>
        <xdr:cNvPr id="34" name="OptionButton30" hidden="1">
          <a:extLst>
            <a:ext uri="{63B3BB69-23CF-44E3-9099-C40C66FF867C}">
              <a14:compatExt xmlns:a14="http://schemas.microsoft.com/office/drawing/2010/main" spid="_x0000_s2080"/>
            </a:ext>
            <a:ext uri="{FF2B5EF4-FFF2-40B4-BE49-F238E27FC236}">
              <a16:creationId xmlns:a16="http://schemas.microsoft.com/office/drawing/2014/main" id="{555C32FF-8723-4078-9E89-EDAB189969D1}"/>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4</xdr:col>
      <xdr:colOff>190500</xdr:colOff>
      <xdr:row>49</xdr:row>
      <xdr:rowOff>152400</xdr:rowOff>
    </xdr:from>
    <xdr:to>
      <xdr:col>6</xdr:col>
      <xdr:colOff>865121</xdr:colOff>
      <xdr:row>51</xdr:row>
      <xdr:rowOff>69849</xdr:rowOff>
    </xdr:to>
    <xdr:sp macro="" textlink="">
      <xdr:nvSpPr>
        <xdr:cNvPr id="35" name="CheckBox12" hidden="1">
          <a:extLst>
            <a:ext uri="{63B3BB69-23CF-44E3-9099-C40C66FF867C}">
              <a14:compatExt xmlns:a14="http://schemas.microsoft.com/office/drawing/2010/main" spid="_x0000_s2081"/>
            </a:ext>
            <a:ext uri="{FF2B5EF4-FFF2-40B4-BE49-F238E27FC236}">
              <a16:creationId xmlns:a16="http://schemas.microsoft.com/office/drawing/2014/main" id="{1BE86020-9138-4890-8BE4-B75E83E5FAE4}"/>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4</xdr:col>
      <xdr:colOff>190500</xdr:colOff>
      <xdr:row>56</xdr:row>
      <xdr:rowOff>0</xdr:rowOff>
    </xdr:from>
    <xdr:to>
      <xdr:col>6</xdr:col>
      <xdr:colOff>865121</xdr:colOff>
      <xdr:row>57</xdr:row>
      <xdr:rowOff>73025</xdr:rowOff>
    </xdr:to>
    <xdr:sp macro="" textlink="">
      <xdr:nvSpPr>
        <xdr:cNvPr id="36" name="CheckBox13" hidden="1">
          <a:extLst>
            <a:ext uri="{63B3BB69-23CF-44E3-9099-C40C66FF867C}">
              <a14:compatExt xmlns:a14="http://schemas.microsoft.com/office/drawing/2010/main" spid="_x0000_s2082"/>
            </a:ext>
            <a:ext uri="{FF2B5EF4-FFF2-40B4-BE49-F238E27FC236}">
              <a16:creationId xmlns:a16="http://schemas.microsoft.com/office/drawing/2014/main" id="{8661EBB5-0228-4320-8082-5914B0311175}"/>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4</xdr:col>
      <xdr:colOff>190500</xdr:colOff>
      <xdr:row>58</xdr:row>
      <xdr:rowOff>0</xdr:rowOff>
    </xdr:from>
    <xdr:to>
      <xdr:col>6</xdr:col>
      <xdr:colOff>865121</xdr:colOff>
      <xdr:row>59</xdr:row>
      <xdr:rowOff>66675</xdr:rowOff>
    </xdr:to>
    <xdr:sp macro="" textlink="">
      <xdr:nvSpPr>
        <xdr:cNvPr id="37" name="CheckBox14" hidden="1">
          <a:extLst>
            <a:ext uri="{63B3BB69-23CF-44E3-9099-C40C66FF867C}">
              <a14:compatExt xmlns:a14="http://schemas.microsoft.com/office/drawing/2010/main" spid="_x0000_s2083"/>
            </a:ext>
            <a:ext uri="{FF2B5EF4-FFF2-40B4-BE49-F238E27FC236}">
              <a16:creationId xmlns:a16="http://schemas.microsoft.com/office/drawing/2014/main" id="{8FBB2C11-5BDF-4708-B95A-F5EBD39CB8AC}"/>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4</xdr:col>
      <xdr:colOff>190500</xdr:colOff>
      <xdr:row>60</xdr:row>
      <xdr:rowOff>47625</xdr:rowOff>
    </xdr:from>
    <xdr:to>
      <xdr:col>6</xdr:col>
      <xdr:colOff>887346</xdr:colOff>
      <xdr:row>61</xdr:row>
      <xdr:rowOff>111125</xdr:rowOff>
    </xdr:to>
    <xdr:sp macro="" textlink="">
      <xdr:nvSpPr>
        <xdr:cNvPr id="38" name="OptionButton16" hidden="1">
          <a:extLst>
            <a:ext uri="{63B3BB69-23CF-44E3-9099-C40C66FF867C}">
              <a14:compatExt xmlns:a14="http://schemas.microsoft.com/office/drawing/2010/main" spid="_x0000_s2084"/>
            </a:ext>
            <a:ext uri="{FF2B5EF4-FFF2-40B4-BE49-F238E27FC236}">
              <a16:creationId xmlns:a16="http://schemas.microsoft.com/office/drawing/2014/main" id="{A4FBBEE8-B77B-4390-832A-C1DB41AB6F57}"/>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6</xdr:col>
      <xdr:colOff>1019175</xdr:colOff>
      <xdr:row>60</xdr:row>
      <xdr:rowOff>47625</xdr:rowOff>
    </xdr:from>
    <xdr:to>
      <xdr:col>10</xdr:col>
      <xdr:colOff>159630</xdr:colOff>
      <xdr:row>61</xdr:row>
      <xdr:rowOff>111125</xdr:rowOff>
    </xdr:to>
    <xdr:sp macro="" textlink="">
      <xdr:nvSpPr>
        <xdr:cNvPr id="39" name="OptionButton17" hidden="1">
          <a:extLst>
            <a:ext uri="{63B3BB69-23CF-44E3-9099-C40C66FF867C}">
              <a14:compatExt xmlns:a14="http://schemas.microsoft.com/office/drawing/2010/main" spid="_x0000_s2085"/>
            </a:ext>
            <a:ext uri="{FF2B5EF4-FFF2-40B4-BE49-F238E27FC236}">
              <a16:creationId xmlns:a16="http://schemas.microsoft.com/office/drawing/2014/main" id="{06BE4EFC-E7D1-4FF2-A192-6DE866FEF22E}"/>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6</xdr:col>
      <xdr:colOff>1028700</xdr:colOff>
      <xdr:row>63</xdr:row>
      <xdr:rowOff>9525</xdr:rowOff>
    </xdr:from>
    <xdr:to>
      <xdr:col>11</xdr:col>
      <xdr:colOff>439029</xdr:colOff>
      <xdr:row>66</xdr:row>
      <xdr:rowOff>73025</xdr:rowOff>
    </xdr:to>
    <xdr:sp macro="" textlink="">
      <xdr:nvSpPr>
        <xdr:cNvPr id="40" name="OptionButton18" hidden="1">
          <a:extLst>
            <a:ext uri="{63B3BB69-23CF-44E3-9099-C40C66FF867C}">
              <a14:compatExt xmlns:a14="http://schemas.microsoft.com/office/drawing/2010/main" spid="_x0000_s2086"/>
            </a:ext>
            <a:ext uri="{FF2B5EF4-FFF2-40B4-BE49-F238E27FC236}">
              <a16:creationId xmlns:a16="http://schemas.microsoft.com/office/drawing/2014/main" id="{5487DAC6-69CF-4FD0-A72F-9F9665CF9F33}"/>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4</xdr:col>
      <xdr:colOff>190500</xdr:colOff>
      <xdr:row>115</xdr:row>
      <xdr:rowOff>9525</xdr:rowOff>
    </xdr:from>
    <xdr:to>
      <xdr:col>6</xdr:col>
      <xdr:colOff>865121</xdr:colOff>
      <xdr:row>116</xdr:row>
      <xdr:rowOff>76199</xdr:rowOff>
    </xdr:to>
    <xdr:sp macro="" textlink="">
      <xdr:nvSpPr>
        <xdr:cNvPr id="41" name="OptionButton19" hidden="1">
          <a:extLst>
            <a:ext uri="{63B3BB69-23CF-44E3-9099-C40C66FF867C}">
              <a14:compatExt xmlns:a14="http://schemas.microsoft.com/office/drawing/2010/main" spid="_x0000_s2087"/>
            </a:ext>
            <a:ext uri="{FF2B5EF4-FFF2-40B4-BE49-F238E27FC236}">
              <a16:creationId xmlns:a16="http://schemas.microsoft.com/office/drawing/2014/main" id="{B58D10FB-C80A-46E5-AFA0-E2984D38B269}"/>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6</xdr:col>
      <xdr:colOff>1038225</xdr:colOff>
      <xdr:row>115</xdr:row>
      <xdr:rowOff>9525</xdr:rowOff>
    </xdr:from>
    <xdr:to>
      <xdr:col>10</xdr:col>
      <xdr:colOff>159630</xdr:colOff>
      <xdr:row>116</xdr:row>
      <xdr:rowOff>76199</xdr:rowOff>
    </xdr:to>
    <xdr:sp macro="" textlink="">
      <xdr:nvSpPr>
        <xdr:cNvPr id="42" name="OptionButton20" hidden="1">
          <a:extLst>
            <a:ext uri="{63B3BB69-23CF-44E3-9099-C40C66FF867C}">
              <a14:compatExt xmlns:a14="http://schemas.microsoft.com/office/drawing/2010/main" spid="_x0000_s2088"/>
            </a:ext>
            <a:ext uri="{FF2B5EF4-FFF2-40B4-BE49-F238E27FC236}">
              <a16:creationId xmlns:a16="http://schemas.microsoft.com/office/drawing/2014/main" id="{B5471D46-4E4C-45AE-BA20-070C62A4270B}"/>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1</xdr:col>
      <xdr:colOff>9525</xdr:colOff>
      <xdr:row>21</xdr:row>
      <xdr:rowOff>9525</xdr:rowOff>
    </xdr:from>
    <xdr:to>
      <xdr:col>2</xdr:col>
      <xdr:colOff>57150</xdr:colOff>
      <xdr:row>22</xdr:row>
      <xdr:rowOff>82550</xdr:rowOff>
    </xdr:to>
    <xdr:sp macro="" textlink="">
      <xdr:nvSpPr>
        <xdr:cNvPr id="43" name="CommandButton2" hidden="1">
          <a:extLst>
            <a:ext uri="{63B3BB69-23CF-44E3-9099-C40C66FF867C}">
              <a14:compatExt xmlns:a14="http://schemas.microsoft.com/office/drawing/2010/main" spid="_x0000_s2089"/>
            </a:ext>
            <a:ext uri="{FF2B5EF4-FFF2-40B4-BE49-F238E27FC236}">
              <a16:creationId xmlns:a16="http://schemas.microsoft.com/office/drawing/2014/main" id="{24046DCC-FC04-4104-A22C-3F1463D8DCD7}"/>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1</xdr:col>
      <xdr:colOff>9525</xdr:colOff>
      <xdr:row>24</xdr:row>
      <xdr:rowOff>9525</xdr:rowOff>
    </xdr:from>
    <xdr:to>
      <xdr:col>2</xdr:col>
      <xdr:colOff>57150</xdr:colOff>
      <xdr:row>25</xdr:row>
      <xdr:rowOff>82550</xdr:rowOff>
    </xdr:to>
    <xdr:sp macro="" textlink="">
      <xdr:nvSpPr>
        <xdr:cNvPr id="44" name="CommandButton4" hidden="1">
          <a:extLst>
            <a:ext uri="{63B3BB69-23CF-44E3-9099-C40C66FF867C}">
              <a14:compatExt xmlns:a14="http://schemas.microsoft.com/office/drawing/2010/main" spid="_x0000_s2090"/>
            </a:ext>
            <a:ext uri="{FF2B5EF4-FFF2-40B4-BE49-F238E27FC236}">
              <a16:creationId xmlns:a16="http://schemas.microsoft.com/office/drawing/2014/main" id="{E93C0BD8-74EC-45C3-B491-06770279C072}"/>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1</xdr:col>
      <xdr:colOff>9525</xdr:colOff>
      <xdr:row>34</xdr:row>
      <xdr:rowOff>0</xdr:rowOff>
    </xdr:from>
    <xdr:to>
      <xdr:col>2</xdr:col>
      <xdr:colOff>57150</xdr:colOff>
      <xdr:row>35</xdr:row>
      <xdr:rowOff>73025</xdr:rowOff>
    </xdr:to>
    <xdr:sp macro="" textlink="">
      <xdr:nvSpPr>
        <xdr:cNvPr id="45" name="CommandButton6" hidden="1">
          <a:extLst>
            <a:ext uri="{63B3BB69-23CF-44E3-9099-C40C66FF867C}">
              <a14:compatExt xmlns:a14="http://schemas.microsoft.com/office/drawing/2010/main" spid="_x0000_s2091"/>
            </a:ext>
            <a:ext uri="{FF2B5EF4-FFF2-40B4-BE49-F238E27FC236}">
              <a16:creationId xmlns:a16="http://schemas.microsoft.com/office/drawing/2014/main" id="{B6013A78-5B0F-411A-B893-1B937B1C4C74}"/>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1</xdr:col>
      <xdr:colOff>9525</xdr:colOff>
      <xdr:row>51</xdr:row>
      <xdr:rowOff>66675</xdr:rowOff>
    </xdr:from>
    <xdr:to>
      <xdr:col>2</xdr:col>
      <xdr:colOff>57150</xdr:colOff>
      <xdr:row>53</xdr:row>
      <xdr:rowOff>6488</xdr:rowOff>
    </xdr:to>
    <xdr:sp macro="" textlink="">
      <xdr:nvSpPr>
        <xdr:cNvPr id="46" name="CommandButton7" hidden="1">
          <a:extLst>
            <a:ext uri="{63B3BB69-23CF-44E3-9099-C40C66FF867C}">
              <a14:compatExt xmlns:a14="http://schemas.microsoft.com/office/drawing/2010/main" spid="_x0000_s2092"/>
            </a:ext>
            <a:ext uri="{FF2B5EF4-FFF2-40B4-BE49-F238E27FC236}">
              <a16:creationId xmlns:a16="http://schemas.microsoft.com/office/drawing/2014/main" id="{8C40C33D-A113-442C-9772-7EFA0CBC9914}"/>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1</xdr:col>
      <xdr:colOff>9525</xdr:colOff>
      <xdr:row>46</xdr:row>
      <xdr:rowOff>38100</xdr:rowOff>
    </xdr:from>
    <xdr:to>
      <xdr:col>2</xdr:col>
      <xdr:colOff>57150</xdr:colOff>
      <xdr:row>47</xdr:row>
      <xdr:rowOff>114300</xdr:rowOff>
    </xdr:to>
    <xdr:sp macro="" textlink="">
      <xdr:nvSpPr>
        <xdr:cNvPr id="47" name="CommandButton8" hidden="1">
          <a:extLst>
            <a:ext uri="{63B3BB69-23CF-44E3-9099-C40C66FF867C}">
              <a14:compatExt xmlns:a14="http://schemas.microsoft.com/office/drawing/2010/main" spid="_x0000_s2093"/>
            </a:ext>
            <a:ext uri="{FF2B5EF4-FFF2-40B4-BE49-F238E27FC236}">
              <a16:creationId xmlns:a16="http://schemas.microsoft.com/office/drawing/2014/main" id="{5312A793-F6A1-41B3-8889-DB8C64CD93FF}"/>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6</xdr:col>
      <xdr:colOff>885825</xdr:colOff>
      <xdr:row>49</xdr:row>
      <xdr:rowOff>142875</xdr:rowOff>
    </xdr:from>
    <xdr:to>
      <xdr:col>7</xdr:col>
      <xdr:colOff>83430</xdr:colOff>
      <xdr:row>51</xdr:row>
      <xdr:rowOff>69849</xdr:rowOff>
    </xdr:to>
    <xdr:sp macro="" textlink="">
      <xdr:nvSpPr>
        <xdr:cNvPr id="48" name="CommandButton9" hidden="1">
          <a:extLst>
            <a:ext uri="{63B3BB69-23CF-44E3-9099-C40C66FF867C}">
              <a14:compatExt xmlns:a14="http://schemas.microsoft.com/office/drawing/2010/main" spid="_x0000_s2094"/>
            </a:ext>
            <a:ext uri="{FF2B5EF4-FFF2-40B4-BE49-F238E27FC236}">
              <a16:creationId xmlns:a16="http://schemas.microsoft.com/office/drawing/2014/main" id="{FCEF4F58-7572-43ED-9523-A0A5C5756211}"/>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6</xdr:col>
      <xdr:colOff>923925</xdr:colOff>
      <xdr:row>56</xdr:row>
      <xdr:rowOff>0</xdr:rowOff>
    </xdr:from>
    <xdr:to>
      <xdr:col>7</xdr:col>
      <xdr:colOff>83430</xdr:colOff>
      <xdr:row>57</xdr:row>
      <xdr:rowOff>82550</xdr:rowOff>
    </xdr:to>
    <xdr:sp macro="" textlink="">
      <xdr:nvSpPr>
        <xdr:cNvPr id="49" name="CommandButton10" hidden="1">
          <a:extLst>
            <a:ext uri="{63B3BB69-23CF-44E3-9099-C40C66FF867C}">
              <a14:compatExt xmlns:a14="http://schemas.microsoft.com/office/drawing/2010/main" spid="_x0000_s2095"/>
            </a:ext>
            <a:ext uri="{FF2B5EF4-FFF2-40B4-BE49-F238E27FC236}">
              <a16:creationId xmlns:a16="http://schemas.microsoft.com/office/drawing/2014/main" id="{A05A87C1-EF50-453C-824B-CD70CF8C8D65}"/>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6</xdr:col>
      <xdr:colOff>885825</xdr:colOff>
      <xdr:row>58</xdr:row>
      <xdr:rowOff>0</xdr:rowOff>
    </xdr:from>
    <xdr:to>
      <xdr:col>7</xdr:col>
      <xdr:colOff>83430</xdr:colOff>
      <xdr:row>59</xdr:row>
      <xdr:rowOff>85725</xdr:rowOff>
    </xdr:to>
    <xdr:sp macro="" textlink="">
      <xdr:nvSpPr>
        <xdr:cNvPr id="50" name="CommandButton11" hidden="1">
          <a:extLst>
            <a:ext uri="{63B3BB69-23CF-44E3-9099-C40C66FF867C}">
              <a14:compatExt xmlns:a14="http://schemas.microsoft.com/office/drawing/2010/main" spid="_x0000_s2096"/>
            </a:ext>
            <a:ext uri="{FF2B5EF4-FFF2-40B4-BE49-F238E27FC236}">
              <a16:creationId xmlns:a16="http://schemas.microsoft.com/office/drawing/2014/main" id="{1C69DFC7-CD26-49AB-938A-42DE4C637B57}"/>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1</xdr:col>
      <xdr:colOff>9525</xdr:colOff>
      <xdr:row>62</xdr:row>
      <xdr:rowOff>28575</xdr:rowOff>
    </xdr:from>
    <xdr:to>
      <xdr:col>2</xdr:col>
      <xdr:colOff>57150</xdr:colOff>
      <xdr:row>63</xdr:row>
      <xdr:rowOff>104776</xdr:rowOff>
    </xdr:to>
    <xdr:sp macro="" textlink="">
      <xdr:nvSpPr>
        <xdr:cNvPr id="51" name="CommandButton12" hidden="1">
          <a:extLst>
            <a:ext uri="{63B3BB69-23CF-44E3-9099-C40C66FF867C}">
              <a14:compatExt xmlns:a14="http://schemas.microsoft.com/office/drawing/2010/main" spid="_x0000_s2097"/>
            </a:ext>
            <a:ext uri="{FF2B5EF4-FFF2-40B4-BE49-F238E27FC236}">
              <a16:creationId xmlns:a16="http://schemas.microsoft.com/office/drawing/2014/main" id="{A0ED4620-EBD6-4416-BAA6-A10FC4041514}"/>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1</xdr:col>
      <xdr:colOff>9525</xdr:colOff>
      <xdr:row>69</xdr:row>
      <xdr:rowOff>219075</xdr:rowOff>
    </xdr:from>
    <xdr:to>
      <xdr:col>2</xdr:col>
      <xdr:colOff>57150</xdr:colOff>
      <xdr:row>71</xdr:row>
      <xdr:rowOff>85724</xdr:rowOff>
    </xdr:to>
    <xdr:sp macro="" textlink="">
      <xdr:nvSpPr>
        <xdr:cNvPr id="52" name="CommandButton13" hidden="1">
          <a:extLst>
            <a:ext uri="{63B3BB69-23CF-44E3-9099-C40C66FF867C}">
              <a14:compatExt xmlns:a14="http://schemas.microsoft.com/office/drawing/2010/main" spid="_x0000_s2098"/>
            </a:ext>
            <a:ext uri="{FF2B5EF4-FFF2-40B4-BE49-F238E27FC236}">
              <a16:creationId xmlns:a16="http://schemas.microsoft.com/office/drawing/2014/main" id="{DF74D482-61CF-40A5-AC9C-F82DD5BCF602}"/>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1</xdr:col>
      <xdr:colOff>38100</xdr:colOff>
      <xdr:row>74</xdr:row>
      <xdr:rowOff>304800</xdr:rowOff>
    </xdr:from>
    <xdr:to>
      <xdr:col>2</xdr:col>
      <xdr:colOff>57150</xdr:colOff>
      <xdr:row>76</xdr:row>
      <xdr:rowOff>76199</xdr:rowOff>
    </xdr:to>
    <xdr:sp macro="" textlink="">
      <xdr:nvSpPr>
        <xdr:cNvPr id="53" name="CommandButton14" hidden="1">
          <a:extLst>
            <a:ext uri="{63B3BB69-23CF-44E3-9099-C40C66FF867C}">
              <a14:compatExt xmlns:a14="http://schemas.microsoft.com/office/drawing/2010/main" spid="_x0000_s2099"/>
            </a:ext>
            <a:ext uri="{FF2B5EF4-FFF2-40B4-BE49-F238E27FC236}">
              <a16:creationId xmlns:a16="http://schemas.microsoft.com/office/drawing/2014/main" id="{BE56DEFD-80FB-4D60-AB1B-246C4327062C}"/>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3</xdr:col>
      <xdr:colOff>1743075</xdr:colOff>
      <xdr:row>79</xdr:row>
      <xdr:rowOff>28575</xdr:rowOff>
    </xdr:from>
    <xdr:to>
      <xdr:col>3</xdr:col>
      <xdr:colOff>4854575</xdr:colOff>
      <xdr:row>80</xdr:row>
      <xdr:rowOff>114299</xdr:rowOff>
    </xdr:to>
    <xdr:sp macro="" textlink="">
      <xdr:nvSpPr>
        <xdr:cNvPr id="54" name="CommandButton15" hidden="1">
          <a:extLst>
            <a:ext uri="{63B3BB69-23CF-44E3-9099-C40C66FF867C}">
              <a14:compatExt xmlns:a14="http://schemas.microsoft.com/office/drawing/2010/main" spid="_x0000_s2100"/>
            </a:ext>
            <a:ext uri="{FF2B5EF4-FFF2-40B4-BE49-F238E27FC236}">
              <a16:creationId xmlns:a16="http://schemas.microsoft.com/office/drawing/2014/main" id="{9807ECA1-A960-477F-9FD6-B92B63DE67E3}"/>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1</xdr:col>
      <xdr:colOff>9525</xdr:colOff>
      <xdr:row>79</xdr:row>
      <xdr:rowOff>142875</xdr:rowOff>
    </xdr:from>
    <xdr:to>
      <xdr:col>2</xdr:col>
      <xdr:colOff>57150</xdr:colOff>
      <xdr:row>81</xdr:row>
      <xdr:rowOff>63500</xdr:rowOff>
    </xdr:to>
    <xdr:sp macro="" textlink="">
      <xdr:nvSpPr>
        <xdr:cNvPr id="55" name="CommandButton16" hidden="1">
          <a:extLst>
            <a:ext uri="{63B3BB69-23CF-44E3-9099-C40C66FF867C}">
              <a14:compatExt xmlns:a14="http://schemas.microsoft.com/office/drawing/2010/main" spid="_x0000_s2101"/>
            </a:ext>
            <a:ext uri="{FF2B5EF4-FFF2-40B4-BE49-F238E27FC236}">
              <a16:creationId xmlns:a16="http://schemas.microsoft.com/office/drawing/2014/main" id="{7A09FAC8-B818-4C66-A522-A98AAAE02928}"/>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1</xdr:col>
      <xdr:colOff>9525</xdr:colOff>
      <xdr:row>83</xdr:row>
      <xdr:rowOff>180975</xdr:rowOff>
    </xdr:from>
    <xdr:to>
      <xdr:col>2</xdr:col>
      <xdr:colOff>57150</xdr:colOff>
      <xdr:row>85</xdr:row>
      <xdr:rowOff>69849</xdr:rowOff>
    </xdr:to>
    <xdr:sp macro="" textlink="">
      <xdr:nvSpPr>
        <xdr:cNvPr id="56" name="CommandButton17" hidden="1">
          <a:extLst>
            <a:ext uri="{63B3BB69-23CF-44E3-9099-C40C66FF867C}">
              <a14:compatExt xmlns:a14="http://schemas.microsoft.com/office/drawing/2010/main" spid="_x0000_s2102"/>
            </a:ext>
            <a:ext uri="{FF2B5EF4-FFF2-40B4-BE49-F238E27FC236}">
              <a16:creationId xmlns:a16="http://schemas.microsoft.com/office/drawing/2014/main" id="{70907D4F-DD2F-4BF3-8A46-C5FBC6CFA2E3}"/>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1</xdr:col>
      <xdr:colOff>9525</xdr:colOff>
      <xdr:row>93</xdr:row>
      <xdr:rowOff>66675</xdr:rowOff>
    </xdr:from>
    <xdr:to>
      <xdr:col>2</xdr:col>
      <xdr:colOff>57150</xdr:colOff>
      <xdr:row>94</xdr:row>
      <xdr:rowOff>142876</xdr:rowOff>
    </xdr:to>
    <xdr:sp macro="" textlink="">
      <xdr:nvSpPr>
        <xdr:cNvPr id="57" name="CommandButton19" hidden="1">
          <a:extLst>
            <a:ext uri="{63B3BB69-23CF-44E3-9099-C40C66FF867C}">
              <a14:compatExt xmlns:a14="http://schemas.microsoft.com/office/drawing/2010/main" spid="_x0000_s2103"/>
            </a:ext>
            <a:ext uri="{FF2B5EF4-FFF2-40B4-BE49-F238E27FC236}">
              <a16:creationId xmlns:a16="http://schemas.microsoft.com/office/drawing/2014/main" id="{3CE63422-5C69-4D7C-AC4D-11373447E72A}"/>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5</xdr:col>
      <xdr:colOff>304800</xdr:colOff>
      <xdr:row>100</xdr:row>
      <xdr:rowOff>0</xdr:rowOff>
    </xdr:from>
    <xdr:to>
      <xdr:col>6</xdr:col>
      <xdr:colOff>674782</xdr:colOff>
      <xdr:row>101</xdr:row>
      <xdr:rowOff>85725</xdr:rowOff>
    </xdr:to>
    <xdr:sp macro="" textlink="">
      <xdr:nvSpPr>
        <xdr:cNvPr id="58" name="CommandButton20" hidden="1">
          <a:extLst>
            <a:ext uri="{63B3BB69-23CF-44E3-9099-C40C66FF867C}">
              <a14:compatExt xmlns:a14="http://schemas.microsoft.com/office/drawing/2010/main" spid="_x0000_s2104"/>
            </a:ext>
            <a:ext uri="{FF2B5EF4-FFF2-40B4-BE49-F238E27FC236}">
              <a16:creationId xmlns:a16="http://schemas.microsoft.com/office/drawing/2014/main" id="{57FD9D36-FAA9-47B5-A022-73CA8D9B8962}"/>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7</xdr:col>
      <xdr:colOff>180975</xdr:colOff>
      <xdr:row>112</xdr:row>
      <xdr:rowOff>0</xdr:rowOff>
    </xdr:from>
    <xdr:to>
      <xdr:col>7</xdr:col>
      <xdr:colOff>495300</xdr:colOff>
      <xdr:row>113</xdr:row>
      <xdr:rowOff>95250</xdr:rowOff>
    </xdr:to>
    <xdr:sp macro="" textlink="">
      <xdr:nvSpPr>
        <xdr:cNvPr id="59" name="CommandButton22" hidden="1">
          <a:extLst>
            <a:ext uri="{63B3BB69-23CF-44E3-9099-C40C66FF867C}">
              <a14:compatExt xmlns:a14="http://schemas.microsoft.com/office/drawing/2010/main" spid="_x0000_s2105"/>
            </a:ext>
            <a:ext uri="{FF2B5EF4-FFF2-40B4-BE49-F238E27FC236}">
              <a16:creationId xmlns:a16="http://schemas.microsoft.com/office/drawing/2014/main" id="{5E2C771F-996C-4C49-AA7C-3C2EB3F39775}"/>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5</xdr:col>
      <xdr:colOff>180975</xdr:colOff>
      <xdr:row>107</xdr:row>
      <xdr:rowOff>142875</xdr:rowOff>
    </xdr:from>
    <xdr:to>
      <xdr:col>5</xdr:col>
      <xdr:colOff>492125</xdr:colOff>
      <xdr:row>109</xdr:row>
      <xdr:rowOff>66676</xdr:rowOff>
    </xdr:to>
    <xdr:sp macro="" textlink="">
      <xdr:nvSpPr>
        <xdr:cNvPr id="60" name="CommandButton23" hidden="1">
          <a:extLst>
            <a:ext uri="{63B3BB69-23CF-44E3-9099-C40C66FF867C}">
              <a14:compatExt xmlns:a14="http://schemas.microsoft.com/office/drawing/2010/main" spid="_x0000_s2106"/>
            </a:ext>
            <a:ext uri="{FF2B5EF4-FFF2-40B4-BE49-F238E27FC236}">
              <a16:creationId xmlns:a16="http://schemas.microsoft.com/office/drawing/2014/main" id="{667CCA2F-08A1-409F-A04D-E156FD73B657}"/>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4</xdr:col>
      <xdr:colOff>180975</xdr:colOff>
      <xdr:row>109</xdr:row>
      <xdr:rowOff>152400</xdr:rowOff>
    </xdr:from>
    <xdr:to>
      <xdr:col>4</xdr:col>
      <xdr:colOff>492125</xdr:colOff>
      <xdr:row>111</xdr:row>
      <xdr:rowOff>88899</xdr:rowOff>
    </xdr:to>
    <xdr:sp macro="" textlink="">
      <xdr:nvSpPr>
        <xdr:cNvPr id="61" name="CommandButton24" hidden="1">
          <a:extLst>
            <a:ext uri="{63B3BB69-23CF-44E3-9099-C40C66FF867C}">
              <a14:compatExt xmlns:a14="http://schemas.microsoft.com/office/drawing/2010/main" spid="_x0000_s2107"/>
            </a:ext>
            <a:ext uri="{FF2B5EF4-FFF2-40B4-BE49-F238E27FC236}">
              <a16:creationId xmlns:a16="http://schemas.microsoft.com/office/drawing/2014/main" id="{425D4797-5562-41CB-A959-162131F788FA}"/>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3</xdr:col>
      <xdr:colOff>3400425</xdr:colOff>
      <xdr:row>118</xdr:row>
      <xdr:rowOff>9525</xdr:rowOff>
    </xdr:from>
    <xdr:to>
      <xdr:col>3</xdr:col>
      <xdr:colOff>4854575</xdr:colOff>
      <xdr:row>119</xdr:row>
      <xdr:rowOff>104775</xdr:rowOff>
    </xdr:to>
    <xdr:sp macro="" textlink="">
      <xdr:nvSpPr>
        <xdr:cNvPr id="62" name="CommandButton25" hidden="1">
          <a:extLst>
            <a:ext uri="{63B3BB69-23CF-44E3-9099-C40C66FF867C}">
              <a14:compatExt xmlns:a14="http://schemas.microsoft.com/office/drawing/2010/main" spid="_x0000_s2108"/>
            </a:ext>
            <a:ext uri="{FF2B5EF4-FFF2-40B4-BE49-F238E27FC236}">
              <a16:creationId xmlns:a16="http://schemas.microsoft.com/office/drawing/2014/main" id="{0C14DE81-BA4A-4900-ADFE-C4C72CC3DCA2}"/>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3</xdr:col>
      <xdr:colOff>3400425</xdr:colOff>
      <xdr:row>119</xdr:row>
      <xdr:rowOff>142875</xdr:rowOff>
    </xdr:from>
    <xdr:to>
      <xdr:col>3</xdr:col>
      <xdr:colOff>4854575</xdr:colOff>
      <xdr:row>121</xdr:row>
      <xdr:rowOff>73025</xdr:rowOff>
    </xdr:to>
    <xdr:sp macro="" textlink="">
      <xdr:nvSpPr>
        <xdr:cNvPr id="63" name="CommandButton26" hidden="1">
          <a:extLst>
            <a:ext uri="{63B3BB69-23CF-44E3-9099-C40C66FF867C}">
              <a14:compatExt xmlns:a14="http://schemas.microsoft.com/office/drawing/2010/main" spid="_x0000_s2109"/>
            </a:ext>
            <a:ext uri="{FF2B5EF4-FFF2-40B4-BE49-F238E27FC236}">
              <a16:creationId xmlns:a16="http://schemas.microsoft.com/office/drawing/2014/main" id="{A5D3451B-C607-4C45-8295-252D73E73E49}"/>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1</xdr:col>
      <xdr:colOff>9525</xdr:colOff>
      <xdr:row>124</xdr:row>
      <xdr:rowOff>123825</xdr:rowOff>
    </xdr:from>
    <xdr:to>
      <xdr:col>2</xdr:col>
      <xdr:colOff>57150</xdr:colOff>
      <xdr:row>126</xdr:row>
      <xdr:rowOff>53975</xdr:rowOff>
    </xdr:to>
    <xdr:sp macro="" textlink="">
      <xdr:nvSpPr>
        <xdr:cNvPr id="64" name="CommandButton27" hidden="1">
          <a:extLst>
            <a:ext uri="{63B3BB69-23CF-44E3-9099-C40C66FF867C}">
              <a14:compatExt xmlns:a14="http://schemas.microsoft.com/office/drawing/2010/main" spid="_x0000_s2110"/>
            </a:ext>
            <a:ext uri="{FF2B5EF4-FFF2-40B4-BE49-F238E27FC236}">
              <a16:creationId xmlns:a16="http://schemas.microsoft.com/office/drawing/2014/main" id="{C0A64693-B3D5-4EC2-AA20-719E80C3812D}"/>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5</xdr:col>
      <xdr:colOff>485775</xdr:colOff>
      <xdr:row>125</xdr:row>
      <xdr:rowOff>123825</xdr:rowOff>
    </xdr:from>
    <xdr:to>
      <xdr:col>6</xdr:col>
      <xdr:colOff>855757</xdr:colOff>
      <xdr:row>127</xdr:row>
      <xdr:rowOff>53976</xdr:rowOff>
    </xdr:to>
    <xdr:sp macro="" textlink="">
      <xdr:nvSpPr>
        <xdr:cNvPr id="65" name="CommandButton28" hidden="1">
          <a:extLst>
            <a:ext uri="{63B3BB69-23CF-44E3-9099-C40C66FF867C}">
              <a14:compatExt xmlns:a14="http://schemas.microsoft.com/office/drawing/2010/main" spid="_x0000_s2111"/>
            </a:ext>
            <a:ext uri="{FF2B5EF4-FFF2-40B4-BE49-F238E27FC236}">
              <a16:creationId xmlns:a16="http://schemas.microsoft.com/office/drawing/2014/main" id="{33F91E2D-4B1A-4CD7-910F-F2B63EA0AEEF}"/>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5</xdr:col>
      <xdr:colOff>485775</xdr:colOff>
      <xdr:row>127</xdr:row>
      <xdr:rowOff>161925</xdr:rowOff>
    </xdr:from>
    <xdr:to>
      <xdr:col>6</xdr:col>
      <xdr:colOff>855757</xdr:colOff>
      <xdr:row>129</xdr:row>
      <xdr:rowOff>76199</xdr:rowOff>
    </xdr:to>
    <xdr:sp macro="" textlink="">
      <xdr:nvSpPr>
        <xdr:cNvPr id="66" name="CommandButton29" hidden="1">
          <a:extLst>
            <a:ext uri="{63B3BB69-23CF-44E3-9099-C40C66FF867C}">
              <a14:compatExt xmlns:a14="http://schemas.microsoft.com/office/drawing/2010/main" spid="_x0000_s2112"/>
            </a:ext>
            <a:ext uri="{FF2B5EF4-FFF2-40B4-BE49-F238E27FC236}">
              <a16:creationId xmlns:a16="http://schemas.microsoft.com/office/drawing/2014/main" id="{DFAB52D3-68DE-43CE-A32F-D9D01DD2F26C}"/>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7</xdr:col>
      <xdr:colOff>485775</xdr:colOff>
      <xdr:row>129</xdr:row>
      <xdr:rowOff>0</xdr:rowOff>
    </xdr:from>
    <xdr:to>
      <xdr:col>8</xdr:col>
      <xdr:colOff>215900</xdr:colOff>
      <xdr:row>130</xdr:row>
      <xdr:rowOff>82551</xdr:rowOff>
    </xdr:to>
    <xdr:sp macro="" textlink="">
      <xdr:nvSpPr>
        <xdr:cNvPr id="67" name="CommandButton30" hidden="1">
          <a:extLst>
            <a:ext uri="{63B3BB69-23CF-44E3-9099-C40C66FF867C}">
              <a14:compatExt xmlns:a14="http://schemas.microsoft.com/office/drawing/2010/main" spid="_x0000_s2113"/>
            </a:ext>
            <a:ext uri="{FF2B5EF4-FFF2-40B4-BE49-F238E27FC236}">
              <a16:creationId xmlns:a16="http://schemas.microsoft.com/office/drawing/2014/main" id="{C23EF15B-0E65-43B2-984A-D162847EACA7}"/>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4</xdr:col>
      <xdr:colOff>190500</xdr:colOff>
      <xdr:row>64</xdr:row>
      <xdr:rowOff>257175</xdr:rowOff>
    </xdr:from>
    <xdr:to>
      <xdr:col>6</xdr:col>
      <xdr:colOff>865121</xdr:colOff>
      <xdr:row>66</xdr:row>
      <xdr:rowOff>73025</xdr:rowOff>
    </xdr:to>
    <xdr:sp macro="" textlink="">
      <xdr:nvSpPr>
        <xdr:cNvPr id="68" name="OptionButton23" hidden="1">
          <a:extLst>
            <a:ext uri="{63B3BB69-23CF-44E3-9099-C40C66FF867C}">
              <a14:compatExt xmlns:a14="http://schemas.microsoft.com/office/drawing/2010/main" spid="_x0000_s2114"/>
            </a:ext>
            <a:ext uri="{FF2B5EF4-FFF2-40B4-BE49-F238E27FC236}">
              <a16:creationId xmlns:a16="http://schemas.microsoft.com/office/drawing/2014/main" id="{B87223B6-FC12-47B3-8EF0-4D118D4FC082}"/>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6</xdr:col>
      <xdr:colOff>1019175</xdr:colOff>
      <xdr:row>64</xdr:row>
      <xdr:rowOff>257175</xdr:rowOff>
    </xdr:from>
    <xdr:to>
      <xdr:col>10</xdr:col>
      <xdr:colOff>159630</xdr:colOff>
      <xdr:row>66</xdr:row>
      <xdr:rowOff>73025</xdr:rowOff>
    </xdr:to>
    <xdr:sp macro="" textlink="">
      <xdr:nvSpPr>
        <xdr:cNvPr id="69" name="OptionButton24" hidden="1">
          <a:extLst>
            <a:ext uri="{63B3BB69-23CF-44E3-9099-C40C66FF867C}">
              <a14:compatExt xmlns:a14="http://schemas.microsoft.com/office/drawing/2010/main" spid="_x0000_s2115"/>
            </a:ext>
            <a:ext uri="{FF2B5EF4-FFF2-40B4-BE49-F238E27FC236}">
              <a16:creationId xmlns:a16="http://schemas.microsoft.com/office/drawing/2014/main" id="{E9867698-55C9-461F-879D-5A5CE19EBB39}"/>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3</xdr:col>
      <xdr:colOff>485775</xdr:colOff>
      <xdr:row>70</xdr:row>
      <xdr:rowOff>28575</xdr:rowOff>
    </xdr:from>
    <xdr:to>
      <xdr:col>3</xdr:col>
      <xdr:colOff>1441036</xdr:colOff>
      <xdr:row>71</xdr:row>
      <xdr:rowOff>133348</xdr:rowOff>
    </xdr:to>
    <xdr:sp macro="" textlink="">
      <xdr:nvSpPr>
        <xdr:cNvPr id="70" name="CommandButton31" hidden="1">
          <a:extLst>
            <a:ext uri="{63B3BB69-23CF-44E3-9099-C40C66FF867C}">
              <a14:compatExt xmlns:a14="http://schemas.microsoft.com/office/drawing/2010/main" spid="_x0000_s2116"/>
            </a:ext>
            <a:ext uri="{FF2B5EF4-FFF2-40B4-BE49-F238E27FC236}">
              <a16:creationId xmlns:a16="http://schemas.microsoft.com/office/drawing/2014/main" id="{D4AF2BE8-4C02-4121-B235-13DB733DEEAB}"/>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3</xdr:col>
      <xdr:colOff>1819275</xdr:colOff>
      <xdr:row>72</xdr:row>
      <xdr:rowOff>47625</xdr:rowOff>
    </xdr:from>
    <xdr:to>
      <xdr:col>3</xdr:col>
      <xdr:colOff>4845050</xdr:colOff>
      <xdr:row>73</xdr:row>
      <xdr:rowOff>120650</xdr:rowOff>
    </xdr:to>
    <xdr:sp macro="" textlink="">
      <xdr:nvSpPr>
        <xdr:cNvPr id="71" name="CommandButton32" hidden="1">
          <a:extLst>
            <a:ext uri="{63B3BB69-23CF-44E3-9099-C40C66FF867C}">
              <a14:compatExt xmlns:a14="http://schemas.microsoft.com/office/drawing/2010/main" spid="_x0000_s2117"/>
            </a:ext>
            <a:ext uri="{FF2B5EF4-FFF2-40B4-BE49-F238E27FC236}">
              <a16:creationId xmlns:a16="http://schemas.microsoft.com/office/drawing/2014/main" id="{A4737F1E-549D-47E1-921D-3B8CC2983729}"/>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1</xdr:col>
      <xdr:colOff>9525</xdr:colOff>
      <xdr:row>66</xdr:row>
      <xdr:rowOff>38100</xdr:rowOff>
    </xdr:from>
    <xdr:to>
      <xdr:col>2</xdr:col>
      <xdr:colOff>57150</xdr:colOff>
      <xdr:row>68</xdr:row>
      <xdr:rowOff>25400</xdr:rowOff>
    </xdr:to>
    <xdr:sp macro="" textlink="">
      <xdr:nvSpPr>
        <xdr:cNvPr id="72" name="CommandButton33" hidden="1">
          <a:extLst>
            <a:ext uri="{63B3BB69-23CF-44E3-9099-C40C66FF867C}">
              <a14:compatExt xmlns:a14="http://schemas.microsoft.com/office/drawing/2010/main" spid="_x0000_s2118"/>
            </a:ext>
            <a:ext uri="{FF2B5EF4-FFF2-40B4-BE49-F238E27FC236}">
              <a16:creationId xmlns:a16="http://schemas.microsoft.com/office/drawing/2014/main" id="{7E03649C-4DBD-4FF8-9F55-E12723EC0AF7}"/>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1</xdr:col>
      <xdr:colOff>9525</xdr:colOff>
      <xdr:row>108</xdr:row>
      <xdr:rowOff>66675</xdr:rowOff>
    </xdr:from>
    <xdr:to>
      <xdr:col>2</xdr:col>
      <xdr:colOff>57150</xdr:colOff>
      <xdr:row>109</xdr:row>
      <xdr:rowOff>142876</xdr:rowOff>
    </xdr:to>
    <xdr:sp macro="" textlink="">
      <xdr:nvSpPr>
        <xdr:cNvPr id="73" name="CommandButton34" hidden="1">
          <a:extLst>
            <a:ext uri="{63B3BB69-23CF-44E3-9099-C40C66FF867C}">
              <a14:compatExt xmlns:a14="http://schemas.microsoft.com/office/drawing/2010/main" spid="_x0000_s2119"/>
            </a:ext>
            <a:ext uri="{FF2B5EF4-FFF2-40B4-BE49-F238E27FC236}">
              <a16:creationId xmlns:a16="http://schemas.microsoft.com/office/drawing/2014/main" id="{5F1AA8DC-8DC7-4A12-836D-02833291E654}"/>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3</xdr:col>
      <xdr:colOff>4162425</xdr:colOff>
      <xdr:row>26</xdr:row>
      <xdr:rowOff>123825</xdr:rowOff>
    </xdr:from>
    <xdr:to>
      <xdr:col>3</xdr:col>
      <xdr:colOff>4845050</xdr:colOff>
      <xdr:row>28</xdr:row>
      <xdr:rowOff>47625</xdr:rowOff>
    </xdr:to>
    <xdr:sp macro="" textlink="">
      <xdr:nvSpPr>
        <xdr:cNvPr id="74" name="CommandButton18" hidden="1">
          <a:extLst>
            <a:ext uri="{63B3BB69-23CF-44E3-9099-C40C66FF867C}">
              <a14:compatExt xmlns:a14="http://schemas.microsoft.com/office/drawing/2010/main" spid="_x0000_s2120"/>
            </a:ext>
            <a:ext uri="{FF2B5EF4-FFF2-40B4-BE49-F238E27FC236}">
              <a16:creationId xmlns:a16="http://schemas.microsoft.com/office/drawing/2014/main" id="{9D79E223-B5DE-4985-853F-338E2725972E}"/>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3</xdr:col>
      <xdr:colOff>4162425</xdr:colOff>
      <xdr:row>29</xdr:row>
      <xdr:rowOff>85725</xdr:rowOff>
    </xdr:from>
    <xdr:to>
      <xdr:col>3</xdr:col>
      <xdr:colOff>4845050</xdr:colOff>
      <xdr:row>31</xdr:row>
      <xdr:rowOff>9526</xdr:rowOff>
    </xdr:to>
    <xdr:sp macro="" textlink="">
      <xdr:nvSpPr>
        <xdr:cNvPr id="75" name="CommandButton35" hidden="1">
          <a:extLst>
            <a:ext uri="{63B3BB69-23CF-44E3-9099-C40C66FF867C}">
              <a14:compatExt xmlns:a14="http://schemas.microsoft.com/office/drawing/2010/main" spid="_x0000_s2121"/>
            </a:ext>
            <a:ext uri="{FF2B5EF4-FFF2-40B4-BE49-F238E27FC236}">
              <a16:creationId xmlns:a16="http://schemas.microsoft.com/office/drawing/2014/main" id="{6F9C15F7-684C-4CEF-BDDC-9ED5A24F451D}"/>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6</xdr:col>
      <xdr:colOff>619125</xdr:colOff>
      <xdr:row>29</xdr:row>
      <xdr:rowOff>123825</xdr:rowOff>
    </xdr:from>
    <xdr:to>
      <xdr:col>7</xdr:col>
      <xdr:colOff>83430</xdr:colOff>
      <xdr:row>31</xdr:row>
      <xdr:rowOff>53976</xdr:rowOff>
    </xdr:to>
    <xdr:sp macro="" textlink="">
      <xdr:nvSpPr>
        <xdr:cNvPr id="76" name="CommandButton36" hidden="1">
          <a:extLst>
            <a:ext uri="{63B3BB69-23CF-44E3-9099-C40C66FF867C}">
              <a14:compatExt xmlns:a14="http://schemas.microsoft.com/office/drawing/2010/main" spid="_x0000_s2122"/>
            </a:ext>
            <a:ext uri="{FF2B5EF4-FFF2-40B4-BE49-F238E27FC236}">
              <a16:creationId xmlns:a16="http://schemas.microsoft.com/office/drawing/2014/main" id="{D26C74AE-CBFB-4196-82F3-FC8639B3F7B1}"/>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6</xdr:col>
      <xdr:colOff>638175</xdr:colOff>
      <xdr:row>26</xdr:row>
      <xdr:rowOff>114300</xdr:rowOff>
    </xdr:from>
    <xdr:to>
      <xdr:col>7</xdr:col>
      <xdr:colOff>83430</xdr:colOff>
      <xdr:row>28</xdr:row>
      <xdr:rowOff>47625</xdr:rowOff>
    </xdr:to>
    <xdr:sp macro="" textlink="">
      <xdr:nvSpPr>
        <xdr:cNvPr id="77" name="CommandButton37" hidden="1">
          <a:extLst>
            <a:ext uri="{63B3BB69-23CF-44E3-9099-C40C66FF867C}">
              <a14:compatExt xmlns:a14="http://schemas.microsoft.com/office/drawing/2010/main" spid="_x0000_s2123"/>
            </a:ext>
            <a:ext uri="{FF2B5EF4-FFF2-40B4-BE49-F238E27FC236}">
              <a16:creationId xmlns:a16="http://schemas.microsoft.com/office/drawing/2014/main" id="{55A8CA17-02F7-4D06-8ACC-06122A34A3B5}"/>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8</xdr:col>
      <xdr:colOff>409575</xdr:colOff>
      <xdr:row>26</xdr:row>
      <xdr:rowOff>104775</xdr:rowOff>
    </xdr:from>
    <xdr:to>
      <xdr:col>9</xdr:col>
      <xdr:colOff>107949</xdr:colOff>
      <xdr:row>28</xdr:row>
      <xdr:rowOff>38100</xdr:rowOff>
    </xdr:to>
    <xdr:sp macro="" textlink="">
      <xdr:nvSpPr>
        <xdr:cNvPr id="78" name="CommandButton38" hidden="1">
          <a:extLst>
            <a:ext uri="{63B3BB69-23CF-44E3-9099-C40C66FF867C}">
              <a14:compatExt xmlns:a14="http://schemas.microsoft.com/office/drawing/2010/main" spid="_x0000_s2124"/>
            </a:ext>
            <a:ext uri="{FF2B5EF4-FFF2-40B4-BE49-F238E27FC236}">
              <a16:creationId xmlns:a16="http://schemas.microsoft.com/office/drawing/2014/main" id="{0EC0F925-189D-4FF2-8CC6-F919EF9B4D75}"/>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xdr:from>
      <xdr:col>4</xdr:col>
      <xdr:colOff>0</xdr:colOff>
      <xdr:row>34</xdr:row>
      <xdr:rowOff>0</xdr:rowOff>
    </xdr:from>
    <xdr:to>
      <xdr:col>4</xdr:col>
      <xdr:colOff>0</xdr:colOff>
      <xdr:row>34</xdr:row>
      <xdr:rowOff>0</xdr:rowOff>
    </xdr:to>
    <xdr:pic>
      <xdr:nvPicPr>
        <xdr:cNvPr id="2050" name="OptionButton2">
          <a:extLst>
            <a:ext uri="{FF2B5EF4-FFF2-40B4-BE49-F238E27FC236}">
              <a16:creationId xmlns:a16="http://schemas.microsoft.com/office/drawing/2014/main" id="{13BB47E0-4D4D-3CFA-9163-F661694702F2}"/>
            </a:ext>
          </a:extLst>
        </xdr:cNvPr>
        <xdr:cNvPicPr preferRelativeResize="0">
          <a:picLocks noChangeArrowheads="1" noChangeShapeType="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68950" y="484505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pic>
    <xdr:clientData/>
  </xdr:twoCellAnchor>
  <xdr:oneCellAnchor>
    <xdr:from>
      <xdr:col>4</xdr:col>
      <xdr:colOff>190500</xdr:colOff>
      <xdr:row>49</xdr:row>
      <xdr:rowOff>152400</xdr:rowOff>
    </xdr:from>
    <xdr:ext cx="3708400" cy="219075"/>
    <xdr:sp macro="" textlink="">
      <xdr:nvSpPr>
        <xdr:cNvPr id="2048" name="CheckBox1" hidden="1">
          <a:extLst>
            <a:ext uri="{63B3BB69-23CF-44E3-9099-C40C66FF867C}">
              <a14:compatExt xmlns:a14="http://schemas.microsoft.com/office/drawing/2010/main" spid="_x0000_s2058"/>
            </a:ext>
            <a:ext uri="{FF2B5EF4-FFF2-40B4-BE49-F238E27FC236}">
              <a16:creationId xmlns:a16="http://schemas.microsoft.com/office/drawing/2014/main" id="{4F79BA16-B38D-46C1-A052-C3C53AE5F099}"/>
            </a:ext>
          </a:extLst>
        </xdr:cNvPr>
        <xdr:cNvSpPr/>
      </xdr:nvSpPr>
      <xdr:spPr bwMode="auto">
        <a:xfrm>
          <a:off x="5226050" y="4425950"/>
          <a:ext cx="3708400" cy="219075"/>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4</xdr:col>
      <xdr:colOff>190500</xdr:colOff>
      <xdr:row>55</xdr:row>
      <xdr:rowOff>161925</xdr:rowOff>
    </xdr:from>
    <xdr:ext cx="3708400" cy="241299"/>
    <xdr:sp macro="" textlink="">
      <xdr:nvSpPr>
        <xdr:cNvPr id="2051" name="CheckBox2" hidden="1">
          <a:extLst>
            <a:ext uri="{63B3BB69-23CF-44E3-9099-C40C66FF867C}">
              <a14:compatExt xmlns:a14="http://schemas.microsoft.com/office/drawing/2010/main" spid="_x0000_s2059"/>
            </a:ext>
            <a:ext uri="{FF2B5EF4-FFF2-40B4-BE49-F238E27FC236}">
              <a16:creationId xmlns:a16="http://schemas.microsoft.com/office/drawing/2014/main" id="{D7884CE3-1CD8-43C3-BC39-C60DC96FE8D0}"/>
            </a:ext>
          </a:extLst>
        </xdr:cNvPr>
        <xdr:cNvSpPr/>
      </xdr:nvSpPr>
      <xdr:spPr bwMode="auto">
        <a:xfrm>
          <a:off x="5226050" y="4727575"/>
          <a:ext cx="3708400" cy="241299"/>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5</xdr:col>
      <xdr:colOff>180975</xdr:colOff>
      <xdr:row>108</xdr:row>
      <xdr:rowOff>152400</xdr:rowOff>
    </xdr:from>
    <xdr:ext cx="314325" cy="238125"/>
    <xdr:sp macro="" textlink="">
      <xdr:nvSpPr>
        <xdr:cNvPr id="2052" name="CommandButton24" hidden="1">
          <a:extLst>
            <a:ext uri="{63B3BB69-23CF-44E3-9099-C40C66FF867C}">
              <a14:compatExt xmlns:a14="http://schemas.microsoft.com/office/drawing/2010/main" spid="_x0000_s2107"/>
            </a:ext>
            <a:ext uri="{FF2B5EF4-FFF2-40B4-BE49-F238E27FC236}">
              <a16:creationId xmlns:a16="http://schemas.microsoft.com/office/drawing/2014/main" id="{D9E2E421-C513-43F1-B98F-3B7E20A815CD}"/>
            </a:ext>
          </a:extLst>
        </xdr:cNvPr>
        <xdr:cNvSpPr/>
      </xdr:nvSpPr>
      <xdr:spPr bwMode="auto">
        <a:xfrm>
          <a:off x="8861425" y="15703550"/>
          <a:ext cx="314325" cy="238125"/>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3</xdr:col>
      <xdr:colOff>190500</xdr:colOff>
      <xdr:row>125</xdr:row>
      <xdr:rowOff>114300</xdr:rowOff>
    </xdr:from>
    <xdr:ext cx="1714500" cy="215900"/>
    <xdr:sp macro="" textlink="">
      <xdr:nvSpPr>
        <xdr:cNvPr id="2053" name="CheckBox6" hidden="1">
          <a:extLst>
            <a:ext uri="{63B3BB69-23CF-44E3-9099-C40C66FF867C}">
              <a14:compatExt xmlns:a14="http://schemas.microsoft.com/office/drawing/2010/main" spid="_x0000_s2069"/>
            </a:ext>
            <a:ext uri="{FF2B5EF4-FFF2-40B4-BE49-F238E27FC236}">
              <a16:creationId xmlns:a16="http://schemas.microsoft.com/office/drawing/2014/main" id="{5A6CDD6A-07F9-414E-9F9E-3AA2A1F969B2}"/>
            </a:ext>
          </a:extLst>
        </xdr:cNvPr>
        <xdr:cNvSpPr/>
      </xdr:nvSpPr>
      <xdr:spPr bwMode="auto">
        <a:xfrm>
          <a:off x="5467350" y="15360650"/>
          <a:ext cx="1714500" cy="2159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3</xdr:col>
      <xdr:colOff>190500</xdr:colOff>
      <xdr:row>128</xdr:row>
      <xdr:rowOff>28575</xdr:rowOff>
    </xdr:from>
    <xdr:ext cx="1714500" cy="219075"/>
    <xdr:sp macro="" textlink="">
      <xdr:nvSpPr>
        <xdr:cNvPr id="2054" name="CheckBox7" hidden="1">
          <a:extLst>
            <a:ext uri="{63B3BB69-23CF-44E3-9099-C40C66FF867C}">
              <a14:compatExt xmlns:a14="http://schemas.microsoft.com/office/drawing/2010/main" spid="_x0000_s2070"/>
            </a:ext>
            <a:ext uri="{FF2B5EF4-FFF2-40B4-BE49-F238E27FC236}">
              <a16:creationId xmlns:a16="http://schemas.microsoft.com/office/drawing/2014/main" id="{D5BD57BF-0CF6-473F-B4F8-821BB7F7FA77}"/>
            </a:ext>
          </a:extLst>
        </xdr:cNvPr>
        <xdr:cNvSpPr/>
      </xdr:nvSpPr>
      <xdr:spPr bwMode="auto">
        <a:xfrm>
          <a:off x="5467350" y="15732125"/>
          <a:ext cx="1714500" cy="219075"/>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5</xdr:col>
      <xdr:colOff>485775</xdr:colOff>
      <xdr:row>126</xdr:row>
      <xdr:rowOff>161925</xdr:rowOff>
    </xdr:from>
    <xdr:ext cx="949325" cy="231775"/>
    <xdr:sp macro="" textlink="">
      <xdr:nvSpPr>
        <xdr:cNvPr id="2055" name="CommandButton29" hidden="1">
          <a:extLst>
            <a:ext uri="{63B3BB69-23CF-44E3-9099-C40C66FF867C}">
              <a14:compatExt xmlns:a14="http://schemas.microsoft.com/office/drawing/2010/main" spid="_x0000_s2112"/>
            </a:ext>
            <a:ext uri="{FF2B5EF4-FFF2-40B4-BE49-F238E27FC236}">
              <a16:creationId xmlns:a16="http://schemas.microsoft.com/office/drawing/2014/main" id="{41185D0F-B91F-4A57-934D-D5FA467FCABE}"/>
            </a:ext>
          </a:extLst>
        </xdr:cNvPr>
        <xdr:cNvSpPr/>
      </xdr:nvSpPr>
      <xdr:spPr bwMode="auto">
        <a:xfrm>
          <a:off x="9166225" y="18748375"/>
          <a:ext cx="949325" cy="231775"/>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4</xdr:col>
      <xdr:colOff>190500</xdr:colOff>
      <xdr:row>59</xdr:row>
      <xdr:rowOff>0</xdr:rowOff>
    </xdr:from>
    <xdr:ext cx="3708400" cy="215900"/>
    <xdr:sp macro="" textlink="">
      <xdr:nvSpPr>
        <xdr:cNvPr id="2056" name="CheckBox14" hidden="1">
          <a:extLst>
            <a:ext uri="{63B3BB69-23CF-44E3-9099-C40C66FF867C}">
              <a14:compatExt xmlns:a14="http://schemas.microsoft.com/office/drawing/2010/main" spid="_x0000_s2083"/>
            </a:ext>
            <a:ext uri="{FF2B5EF4-FFF2-40B4-BE49-F238E27FC236}">
              <a16:creationId xmlns:a16="http://schemas.microsoft.com/office/drawing/2014/main" id="{16DDE1CD-CB9A-4F24-8DB0-DCC6BB1F7C8F}"/>
            </a:ext>
          </a:extLst>
        </xdr:cNvPr>
        <xdr:cNvSpPr/>
      </xdr:nvSpPr>
      <xdr:spPr bwMode="auto">
        <a:xfrm>
          <a:off x="5537200" y="8051800"/>
          <a:ext cx="3708400" cy="2159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6</xdr:col>
      <xdr:colOff>885825</xdr:colOff>
      <xdr:row>59</xdr:row>
      <xdr:rowOff>0</xdr:rowOff>
    </xdr:from>
    <xdr:ext cx="923925" cy="234950"/>
    <xdr:sp macro="" textlink="">
      <xdr:nvSpPr>
        <xdr:cNvPr id="2057" name="CommandButton11" hidden="1">
          <a:extLst>
            <a:ext uri="{63B3BB69-23CF-44E3-9099-C40C66FF867C}">
              <a14:compatExt xmlns:a14="http://schemas.microsoft.com/office/drawing/2010/main" spid="_x0000_s2096"/>
            </a:ext>
            <a:ext uri="{FF2B5EF4-FFF2-40B4-BE49-F238E27FC236}">
              <a16:creationId xmlns:a16="http://schemas.microsoft.com/office/drawing/2014/main" id="{16488E93-5203-4FDF-AC44-3D60A428D9AB}"/>
            </a:ext>
          </a:extLst>
        </xdr:cNvPr>
        <xdr:cNvSpPr/>
      </xdr:nvSpPr>
      <xdr:spPr bwMode="auto">
        <a:xfrm>
          <a:off x="8270875" y="8051800"/>
          <a:ext cx="923925" cy="23495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twoCellAnchor editAs="oneCell">
    <xdr:from>
      <xdr:col>6</xdr:col>
      <xdr:colOff>749904</xdr:colOff>
      <xdr:row>1</xdr:row>
      <xdr:rowOff>1210</xdr:rowOff>
    </xdr:from>
    <xdr:to>
      <xdr:col>9</xdr:col>
      <xdr:colOff>725865</xdr:colOff>
      <xdr:row>3</xdr:row>
      <xdr:rowOff>192905</xdr:rowOff>
    </xdr:to>
    <xdr:pic>
      <xdr:nvPicPr>
        <xdr:cNvPr id="2" name="Afbeelding 1">
          <a:extLst>
            <a:ext uri="{FF2B5EF4-FFF2-40B4-BE49-F238E27FC236}">
              <a16:creationId xmlns:a16="http://schemas.microsoft.com/office/drawing/2014/main" id="{D8EDC7CE-36DF-4C52-8A66-C5DDD6DF1EA1}"/>
            </a:ext>
          </a:extLst>
        </xdr:cNvPr>
        <xdr:cNvPicPr>
          <a:picLocks noChangeAspect="1"/>
        </xdr:cNvPicPr>
      </xdr:nvPicPr>
      <xdr:blipFill>
        <a:blip xmlns:r="http://schemas.openxmlformats.org/officeDocument/2006/relationships" r:embed="rId2"/>
        <a:stretch>
          <a:fillRect/>
        </a:stretch>
      </xdr:blipFill>
      <xdr:spPr>
        <a:xfrm>
          <a:off x="11502571" y="158448"/>
          <a:ext cx="4203246" cy="578743"/>
        </a:xfrm>
        <a:prstGeom prst="rect">
          <a:avLst/>
        </a:prstGeom>
      </xdr:spPr>
    </xdr:pic>
    <xdr:clientData/>
  </xdr:twoCellAnchor>
  <xdr:oneCellAnchor>
    <xdr:from>
      <xdr:col>4</xdr:col>
      <xdr:colOff>180975</xdr:colOff>
      <xdr:row>99</xdr:row>
      <xdr:rowOff>152400</xdr:rowOff>
    </xdr:from>
    <xdr:ext cx="311150" cy="238124"/>
    <xdr:sp macro="" textlink="">
      <xdr:nvSpPr>
        <xdr:cNvPr id="3" name="CommandButton24" hidden="1">
          <a:extLst>
            <a:ext uri="{63B3BB69-23CF-44E3-9099-C40C66FF867C}">
              <a14:compatExt xmlns:a14="http://schemas.microsoft.com/office/drawing/2010/main" spid="_x0000_s2107"/>
            </a:ext>
            <a:ext uri="{FF2B5EF4-FFF2-40B4-BE49-F238E27FC236}">
              <a16:creationId xmlns:a16="http://schemas.microsoft.com/office/drawing/2014/main" id="{1F0FA21F-EAC7-4038-9459-3E36D238D7F5}"/>
            </a:ext>
          </a:extLst>
        </xdr:cNvPr>
        <xdr:cNvSpPr/>
      </xdr:nvSpPr>
      <xdr:spPr bwMode="auto">
        <a:xfrm>
          <a:off x="7902575" y="16922750"/>
          <a:ext cx="311150" cy="238124"/>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3</xdr:col>
      <xdr:colOff>4181475</xdr:colOff>
      <xdr:row>108</xdr:row>
      <xdr:rowOff>0</xdr:rowOff>
    </xdr:from>
    <xdr:ext cx="3675230" cy="208190"/>
    <xdr:sp macro="" textlink="">
      <xdr:nvSpPr>
        <xdr:cNvPr id="2061" name="CheckBox4" hidden="1">
          <a:extLst>
            <a:ext uri="{63B3BB69-23CF-44E3-9099-C40C66FF867C}">
              <a14:compatExt xmlns:a14="http://schemas.microsoft.com/office/drawing/2010/main" spid="_x0000_s2065"/>
            </a:ext>
            <a:ext uri="{FF2B5EF4-FFF2-40B4-BE49-F238E27FC236}">
              <a16:creationId xmlns:a16="http://schemas.microsoft.com/office/drawing/2014/main" id="{44AF7DF6-799D-4C4B-AEBF-4DD8A8F66BB5}"/>
            </a:ext>
          </a:extLst>
        </xdr:cNvPr>
        <xdr:cNvSpPr/>
      </xdr:nvSpPr>
      <xdr:spPr bwMode="auto">
        <a:xfrm>
          <a:off x="4722586" y="15439571"/>
          <a:ext cx="3675230" cy="20819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3</xdr:col>
      <xdr:colOff>4181475</xdr:colOff>
      <xdr:row>109</xdr:row>
      <xdr:rowOff>0</xdr:rowOff>
    </xdr:from>
    <xdr:ext cx="3675230" cy="208190"/>
    <xdr:sp macro="" textlink="">
      <xdr:nvSpPr>
        <xdr:cNvPr id="2062" name="CheckBox4" hidden="1">
          <a:extLst>
            <a:ext uri="{63B3BB69-23CF-44E3-9099-C40C66FF867C}">
              <a14:compatExt xmlns:a14="http://schemas.microsoft.com/office/drawing/2010/main" spid="_x0000_s2065"/>
            </a:ext>
            <a:ext uri="{FF2B5EF4-FFF2-40B4-BE49-F238E27FC236}">
              <a16:creationId xmlns:a16="http://schemas.microsoft.com/office/drawing/2014/main" id="{472C88CC-417D-41EA-BAD3-F27AC0C3AE06}"/>
            </a:ext>
          </a:extLst>
        </xdr:cNvPr>
        <xdr:cNvSpPr/>
      </xdr:nvSpPr>
      <xdr:spPr bwMode="auto">
        <a:xfrm>
          <a:off x="4722586" y="15439571"/>
          <a:ext cx="3675230" cy="20819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3</xdr:col>
      <xdr:colOff>4181475</xdr:colOff>
      <xdr:row>110</xdr:row>
      <xdr:rowOff>0</xdr:rowOff>
    </xdr:from>
    <xdr:ext cx="3675230" cy="208190"/>
    <xdr:sp macro="" textlink="">
      <xdr:nvSpPr>
        <xdr:cNvPr id="2063" name="CheckBox4" hidden="1">
          <a:extLst>
            <a:ext uri="{63B3BB69-23CF-44E3-9099-C40C66FF867C}">
              <a14:compatExt xmlns:a14="http://schemas.microsoft.com/office/drawing/2010/main" spid="_x0000_s2065"/>
            </a:ext>
            <a:ext uri="{FF2B5EF4-FFF2-40B4-BE49-F238E27FC236}">
              <a16:creationId xmlns:a16="http://schemas.microsoft.com/office/drawing/2014/main" id="{22E77E00-0D63-40B3-8A6C-FFBB3BE9F3F2}"/>
            </a:ext>
          </a:extLst>
        </xdr:cNvPr>
        <xdr:cNvSpPr/>
      </xdr:nvSpPr>
      <xdr:spPr bwMode="auto">
        <a:xfrm>
          <a:off x="4722586" y="15439571"/>
          <a:ext cx="3675230" cy="20819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3</xdr:col>
      <xdr:colOff>4181475</xdr:colOff>
      <xdr:row>100</xdr:row>
      <xdr:rowOff>0</xdr:rowOff>
    </xdr:from>
    <xdr:ext cx="3675230" cy="208190"/>
    <xdr:sp macro="" textlink="">
      <xdr:nvSpPr>
        <xdr:cNvPr id="2064" name="CheckBox4" hidden="1">
          <a:extLst>
            <a:ext uri="{63B3BB69-23CF-44E3-9099-C40C66FF867C}">
              <a14:compatExt xmlns:a14="http://schemas.microsoft.com/office/drawing/2010/main" spid="_x0000_s2065"/>
            </a:ext>
            <a:ext uri="{FF2B5EF4-FFF2-40B4-BE49-F238E27FC236}">
              <a16:creationId xmlns:a16="http://schemas.microsoft.com/office/drawing/2014/main" id="{221E8FB2-AA56-422F-BAE2-B975EDE6D304}"/>
            </a:ext>
          </a:extLst>
        </xdr:cNvPr>
        <xdr:cNvSpPr/>
      </xdr:nvSpPr>
      <xdr:spPr bwMode="auto">
        <a:xfrm>
          <a:off x="4722586" y="15439571"/>
          <a:ext cx="3675230" cy="20819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wsDr>
</file>

<file path=xl/drawings/drawing4.xml><?xml version="1.0" encoding="utf-8"?>
<xdr:wsDr xmlns:xdr="http://schemas.openxmlformats.org/drawingml/2006/spreadsheetDrawing" xmlns:a="http://schemas.openxmlformats.org/drawingml/2006/main">
  <xdr:twoCellAnchor editAs="oneCell">
    <xdr:from>
      <xdr:col>9</xdr:col>
      <xdr:colOff>46865</xdr:colOff>
      <xdr:row>1</xdr:row>
      <xdr:rowOff>0</xdr:rowOff>
    </xdr:from>
    <xdr:to>
      <xdr:col>15</xdr:col>
      <xdr:colOff>723765</xdr:colOff>
      <xdr:row>5</xdr:row>
      <xdr:rowOff>0</xdr:rowOff>
    </xdr:to>
    <xdr:pic>
      <xdr:nvPicPr>
        <xdr:cNvPr id="2" name="Afbeelding 1">
          <a:extLst>
            <a:ext uri="{FF2B5EF4-FFF2-40B4-BE49-F238E27FC236}">
              <a16:creationId xmlns:a16="http://schemas.microsoft.com/office/drawing/2014/main" id="{05DD7258-C559-47F0-A2AE-D7EDF40EDF9D}"/>
            </a:ext>
          </a:extLst>
        </xdr:cNvPr>
        <xdr:cNvPicPr>
          <a:picLocks noChangeAspect="1"/>
        </xdr:cNvPicPr>
      </xdr:nvPicPr>
      <xdr:blipFill>
        <a:blip xmlns:r="http://schemas.openxmlformats.org/officeDocument/2006/relationships" r:embed="rId1"/>
        <a:stretch>
          <a:fillRect/>
        </a:stretch>
      </xdr:blipFill>
      <xdr:spPr>
        <a:xfrm>
          <a:off x="11394930" y="184355"/>
          <a:ext cx="5511093" cy="771559"/>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2</xdr:col>
      <xdr:colOff>5115277</xdr:colOff>
      <xdr:row>1</xdr:row>
      <xdr:rowOff>416</xdr:rowOff>
    </xdr:from>
    <xdr:to>
      <xdr:col>4</xdr:col>
      <xdr:colOff>1212828</xdr:colOff>
      <xdr:row>3</xdr:row>
      <xdr:rowOff>192366</xdr:rowOff>
    </xdr:to>
    <xdr:pic>
      <xdr:nvPicPr>
        <xdr:cNvPr id="2" name="Afbeelding 1">
          <a:extLst>
            <a:ext uri="{FF2B5EF4-FFF2-40B4-BE49-F238E27FC236}">
              <a16:creationId xmlns:a16="http://schemas.microsoft.com/office/drawing/2014/main" id="{9698634B-5094-42B3-AD60-421D93E2FA89}"/>
            </a:ext>
          </a:extLst>
        </xdr:cNvPr>
        <xdr:cNvPicPr>
          <a:picLocks noChangeAspect="1"/>
        </xdr:cNvPicPr>
      </xdr:nvPicPr>
      <xdr:blipFill>
        <a:blip xmlns:r="http://schemas.openxmlformats.org/officeDocument/2006/relationships" r:embed="rId1"/>
        <a:stretch>
          <a:fillRect/>
        </a:stretch>
      </xdr:blipFill>
      <xdr:spPr>
        <a:xfrm>
          <a:off x="5990166" y="190916"/>
          <a:ext cx="4162051" cy="587061"/>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2</xdr:col>
      <xdr:colOff>4614334</xdr:colOff>
      <xdr:row>1</xdr:row>
      <xdr:rowOff>0</xdr:rowOff>
    </xdr:from>
    <xdr:to>
      <xdr:col>4</xdr:col>
      <xdr:colOff>1061135</xdr:colOff>
      <xdr:row>3</xdr:row>
      <xdr:rowOff>195478</xdr:rowOff>
    </xdr:to>
    <xdr:pic>
      <xdr:nvPicPr>
        <xdr:cNvPr id="3" name="Afbeelding 2">
          <a:extLst>
            <a:ext uri="{FF2B5EF4-FFF2-40B4-BE49-F238E27FC236}">
              <a16:creationId xmlns:a16="http://schemas.microsoft.com/office/drawing/2014/main" id="{ABE418B3-DE8B-400C-AC89-E12EC1CECDC2}"/>
            </a:ext>
          </a:extLst>
        </xdr:cNvPr>
        <xdr:cNvPicPr>
          <a:picLocks noChangeAspect="1"/>
        </xdr:cNvPicPr>
      </xdr:nvPicPr>
      <xdr:blipFill>
        <a:blip xmlns:r="http://schemas.openxmlformats.org/officeDocument/2006/relationships" r:embed="rId1"/>
        <a:stretch>
          <a:fillRect/>
        </a:stretch>
      </xdr:blipFill>
      <xdr:spPr>
        <a:xfrm>
          <a:off x="5487459" y="190500"/>
          <a:ext cx="4162051" cy="587061"/>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7</xdr:col>
      <xdr:colOff>1217706</xdr:colOff>
      <xdr:row>2</xdr:row>
      <xdr:rowOff>22413</xdr:rowOff>
    </xdr:from>
    <xdr:to>
      <xdr:col>12</xdr:col>
      <xdr:colOff>523036</xdr:colOff>
      <xdr:row>5</xdr:row>
      <xdr:rowOff>11512</xdr:rowOff>
    </xdr:to>
    <xdr:pic>
      <xdr:nvPicPr>
        <xdr:cNvPr id="2" name="Afbeelding 1">
          <a:extLst>
            <a:ext uri="{FF2B5EF4-FFF2-40B4-BE49-F238E27FC236}">
              <a16:creationId xmlns:a16="http://schemas.microsoft.com/office/drawing/2014/main" id="{3CA9D9EF-2226-4F09-BC57-79E1D2C0D399}"/>
            </a:ext>
          </a:extLst>
        </xdr:cNvPr>
        <xdr:cNvPicPr>
          <a:picLocks noChangeAspect="1"/>
        </xdr:cNvPicPr>
      </xdr:nvPicPr>
      <xdr:blipFill>
        <a:blip xmlns:r="http://schemas.openxmlformats.org/officeDocument/2006/relationships" r:embed="rId1"/>
        <a:stretch>
          <a:fillRect/>
        </a:stretch>
      </xdr:blipFill>
      <xdr:spPr>
        <a:xfrm>
          <a:off x="10765118" y="343648"/>
          <a:ext cx="5180200" cy="714867"/>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8</xdr:col>
      <xdr:colOff>292100</xdr:colOff>
      <xdr:row>1</xdr:row>
      <xdr:rowOff>12701</xdr:rowOff>
    </xdr:from>
    <xdr:to>
      <xdr:col>13</xdr:col>
      <xdr:colOff>1588</xdr:colOff>
      <xdr:row>3</xdr:row>
      <xdr:rowOff>187063</xdr:rowOff>
    </xdr:to>
    <xdr:pic>
      <xdr:nvPicPr>
        <xdr:cNvPr id="2" name="Afbeelding 1">
          <a:extLst>
            <a:ext uri="{FF2B5EF4-FFF2-40B4-BE49-F238E27FC236}">
              <a16:creationId xmlns:a16="http://schemas.microsoft.com/office/drawing/2014/main" id="{72601405-10E1-4023-83E9-91E09F29B5EE}"/>
            </a:ext>
          </a:extLst>
        </xdr:cNvPr>
        <xdr:cNvPicPr>
          <a:picLocks noChangeAspect="1"/>
        </xdr:cNvPicPr>
      </xdr:nvPicPr>
      <xdr:blipFill>
        <a:blip xmlns:r="http://schemas.openxmlformats.org/officeDocument/2006/relationships" r:embed="rId1"/>
        <a:stretch>
          <a:fillRect/>
        </a:stretch>
      </xdr:blipFill>
      <xdr:spPr>
        <a:xfrm>
          <a:off x="7905750" y="203201"/>
          <a:ext cx="4116388" cy="568062"/>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12</xdr:col>
      <xdr:colOff>330692</xdr:colOff>
      <xdr:row>1</xdr:row>
      <xdr:rowOff>12701</xdr:rowOff>
    </xdr:from>
    <xdr:to>
      <xdr:col>17</xdr:col>
      <xdr:colOff>1588</xdr:colOff>
      <xdr:row>3</xdr:row>
      <xdr:rowOff>190500</xdr:rowOff>
    </xdr:to>
    <xdr:pic>
      <xdr:nvPicPr>
        <xdr:cNvPr id="2" name="Afbeelding 1">
          <a:extLst>
            <a:ext uri="{FF2B5EF4-FFF2-40B4-BE49-F238E27FC236}">
              <a16:creationId xmlns:a16="http://schemas.microsoft.com/office/drawing/2014/main" id="{BBC64F19-0C14-4996-8E68-8860ECAC3DC8}"/>
            </a:ext>
          </a:extLst>
        </xdr:cNvPr>
        <xdr:cNvPicPr>
          <a:picLocks noChangeAspect="1"/>
        </xdr:cNvPicPr>
      </xdr:nvPicPr>
      <xdr:blipFill>
        <a:blip xmlns:r="http://schemas.openxmlformats.org/officeDocument/2006/relationships" r:embed="rId1"/>
        <a:stretch>
          <a:fillRect/>
        </a:stretch>
      </xdr:blipFill>
      <xdr:spPr>
        <a:xfrm>
          <a:off x="12821142" y="203201"/>
          <a:ext cx="4141296" cy="571499"/>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John Elders" id="{140C7F3F-5EFE-4177-91CB-1AF915B688D9}" userId="S::John.Elders@metafoor.nl::72703cd7-a0da-4db1-8744-5005c9d23fc7" providerId="AD"/>
</personList>
</file>

<file path=xl/theme/theme1.xml><?xml version="1.0" encoding="utf-8"?>
<a:theme xmlns:a="http://schemas.openxmlformats.org/drawingml/2006/main" name="Kantoorthema">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threadedComments/threadedComment1.xml><?xml version="1.0" encoding="utf-8"?>
<ThreadedComments xmlns="http://schemas.microsoft.com/office/spreadsheetml/2018/threadedcomments" xmlns:x="http://schemas.openxmlformats.org/spreadsheetml/2006/main">
  <threadedComment ref="B47" dT="2024-08-15T11:30:04.07" personId="{140C7F3F-5EFE-4177-91CB-1AF915B688D9}" id="{DDBE5A02-03E3-42C8-A21B-FCE2313D5877}">
    <text xml:space="preserve">Dit gewoon 'Bestek" noemen?
</text>
  </threadedComment>
</ThreadedComments>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8.xml"/><Relationship Id="rId1" Type="http://schemas.openxmlformats.org/officeDocument/2006/relationships/printerSettings" Target="../printerSettings/printerSettings3.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DDE99C-C478-408C-8CA9-BA46369D0611}">
  <dimension ref="B1:F26"/>
  <sheetViews>
    <sheetView showGridLines="0" tabSelected="1" workbookViewId="0">
      <selection activeCell="C20" sqref="C20"/>
    </sheetView>
  </sheetViews>
  <sheetFormatPr defaultColWidth="9.21875" defaultRowHeight="14.4" x14ac:dyDescent="0.3"/>
  <cols>
    <col min="1" max="1" width="2.77734375" style="1" customWidth="1"/>
    <col min="2" max="2" width="9.21875" style="1"/>
    <col min="3" max="3" width="155" style="1" bestFit="1" customWidth="1"/>
    <col min="4" max="4" width="16.44140625" style="1" customWidth="1"/>
    <col min="5" max="5" width="2.5546875" style="1" customWidth="1"/>
    <col min="6" max="16384" width="9.21875" style="1"/>
  </cols>
  <sheetData>
    <row r="1" spans="2:4" ht="15" thickBot="1" x14ac:dyDescent="0.35"/>
    <row r="2" spans="2:4" x14ac:dyDescent="0.3">
      <c r="B2" s="2"/>
      <c r="C2" s="3"/>
      <c r="D2" s="4"/>
    </row>
    <row r="3" spans="2:4" x14ac:dyDescent="0.3">
      <c r="B3" s="5"/>
      <c r="D3" s="6"/>
    </row>
    <row r="4" spans="2:4" x14ac:dyDescent="0.3">
      <c r="B4" s="5"/>
      <c r="D4" s="6"/>
    </row>
    <row r="5" spans="2:4" x14ac:dyDescent="0.3">
      <c r="B5" s="5"/>
      <c r="D5" s="6"/>
    </row>
    <row r="6" spans="2:4" x14ac:dyDescent="0.3">
      <c r="B6" s="5"/>
      <c r="D6" s="6"/>
    </row>
    <row r="7" spans="2:4" x14ac:dyDescent="0.3">
      <c r="B7" s="5"/>
      <c r="D7" s="6"/>
    </row>
    <row r="8" spans="2:4" x14ac:dyDescent="0.3">
      <c r="B8" s="5"/>
      <c r="D8" s="6"/>
    </row>
    <row r="9" spans="2:4" x14ac:dyDescent="0.3">
      <c r="B9" s="5"/>
      <c r="D9" s="6"/>
    </row>
    <row r="10" spans="2:4" x14ac:dyDescent="0.3">
      <c r="B10" s="5"/>
      <c r="D10" s="6"/>
    </row>
    <row r="11" spans="2:4" ht="24.6" x14ac:dyDescent="0.4">
      <c r="B11" s="5"/>
      <c r="C11" s="7" t="s">
        <v>584</v>
      </c>
      <c r="D11" s="6"/>
    </row>
    <row r="12" spans="2:4" ht="24.6" x14ac:dyDescent="0.4">
      <c r="B12" s="5"/>
      <c r="C12" s="7" t="s">
        <v>587</v>
      </c>
      <c r="D12" s="6"/>
    </row>
    <row r="13" spans="2:4" ht="15.6" x14ac:dyDescent="0.3">
      <c r="B13" s="5"/>
      <c r="C13" s="8"/>
      <c r="D13" s="6"/>
    </row>
    <row r="14" spans="2:4" ht="17.399999999999999" x14ac:dyDescent="0.3">
      <c r="B14" s="5"/>
      <c r="C14" s="681" t="s">
        <v>585</v>
      </c>
      <c r="D14" s="6"/>
    </row>
    <row r="15" spans="2:4" ht="17.399999999999999" x14ac:dyDescent="0.3">
      <c r="B15" s="5"/>
      <c r="C15" s="666" t="s">
        <v>588</v>
      </c>
      <c r="D15" s="6"/>
    </row>
    <row r="16" spans="2:4" ht="15.6" x14ac:dyDescent="0.3">
      <c r="B16" s="5"/>
      <c r="C16" s="8"/>
      <c r="D16" s="6"/>
    </row>
    <row r="17" spans="2:6" ht="15.6" x14ac:dyDescent="0.3">
      <c r="B17" s="5"/>
      <c r="C17" s="8"/>
      <c r="D17" s="6"/>
    </row>
    <row r="18" spans="2:6" x14ac:dyDescent="0.3">
      <c r="B18" s="5"/>
      <c r="D18" s="6"/>
    </row>
    <row r="19" spans="2:6" ht="15" thickBot="1" x14ac:dyDescent="0.35">
      <c r="B19" s="9"/>
      <c r="C19" s="10"/>
      <c r="D19" s="11"/>
    </row>
    <row r="21" spans="2:6" ht="19.5" customHeight="1" x14ac:dyDescent="0.3">
      <c r="B21" s="122" t="s">
        <v>586</v>
      </c>
      <c r="F21" s="636"/>
    </row>
    <row r="26" spans="2:6" x14ac:dyDescent="0.3">
      <c r="C26" s="636"/>
    </row>
  </sheetData>
  <sheetProtection algorithmName="SHA-512" hashValue="JemECpmLbKTPv6ZczWNgc78rDW0oyvLMMVtBbrVxUMNr2PHj5F1DtP/Ztn+xcCKueUZJNkjveySxdxRMLTZQpA==" saltValue="PXCfY/Vc3OUqsxfPssNTEA==" spinCount="100000" sheet="1" objects="1" scenarios="1"/>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0DD14E-01F8-47CB-8DF1-1AF7D35C946D}">
  <dimension ref="B1:G26"/>
  <sheetViews>
    <sheetView showGridLines="0" workbookViewId="0">
      <selection activeCell="B1" sqref="B1"/>
    </sheetView>
  </sheetViews>
  <sheetFormatPr defaultRowHeight="14.4" x14ac:dyDescent="0.3"/>
  <cols>
    <col min="1" max="1" width="3" customWidth="1"/>
    <col min="2" max="2" width="32.5546875" bestFit="1" customWidth="1"/>
    <col min="3" max="3" width="11" bestFit="1" customWidth="1"/>
    <col min="4" max="4" width="9.21875" bestFit="1" customWidth="1"/>
    <col min="5" max="5" width="32.5546875" bestFit="1" customWidth="1"/>
    <col min="6" max="6" width="7.44140625" bestFit="1" customWidth="1"/>
    <col min="8" max="8" width="47.77734375" bestFit="1" customWidth="1"/>
  </cols>
  <sheetData>
    <row r="1" spans="2:7" ht="15.6" x14ac:dyDescent="0.3">
      <c r="B1" s="84" t="s">
        <v>589</v>
      </c>
      <c r="C1" s="678"/>
      <c r="D1" s="678"/>
    </row>
    <row r="3" spans="2:7" x14ac:dyDescent="0.3">
      <c r="B3" s="83" t="s">
        <v>533</v>
      </c>
      <c r="C3" s="72" t="s">
        <v>534</v>
      </c>
      <c r="E3" s="83" t="s">
        <v>533</v>
      </c>
      <c r="F3" s="72" t="s">
        <v>534</v>
      </c>
    </row>
    <row r="4" spans="2:7" x14ac:dyDescent="0.3">
      <c r="B4" s="73" t="s">
        <v>157</v>
      </c>
      <c r="C4" s="74">
        <v>160</v>
      </c>
      <c r="E4" s="73" t="s">
        <v>535</v>
      </c>
      <c r="F4" s="74">
        <v>126</v>
      </c>
      <c r="G4" s="658"/>
    </row>
    <row r="5" spans="2:7" x14ac:dyDescent="0.3">
      <c r="B5" s="73" t="s">
        <v>158</v>
      </c>
      <c r="C5" s="74">
        <v>140</v>
      </c>
      <c r="E5" s="73" t="s">
        <v>536</v>
      </c>
      <c r="F5" s="74">
        <v>160</v>
      </c>
      <c r="G5" s="658"/>
    </row>
    <row r="6" spans="2:7" x14ac:dyDescent="0.3">
      <c r="B6" s="73" t="s">
        <v>537</v>
      </c>
      <c r="C6" s="74">
        <v>160</v>
      </c>
      <c r="E6" s="73" t="s">
        <v>538</v>
      </c>
      <c r="F6" s="74">
        <v>113</v>
      </c>
      <c r="G6" s="658"/>
    </row>
    <row r="7" spans="2:7" x14ac:dyDescent="0.3">
      <c r="B7" s="73" t="s">
        <v>184</v>
      </c>
      <c r="C7" s="75">
        <v>160</v>
      </c>
      <c r="E7" s="73" t="s">
        <v>539</v>
      </c>
      <c r="F7" s="74">
        <v>140</v>
      </c>
      <c r="G7" s="658"/>
    </row>
    <row r="8" spans="2:7" x14ac:dyDescent="0.3">
      <c r="B8" s="76" t="s">
        <v>151</v>
      </c>
      <c r="C8" s="77">
        <v>126</v>
      </c>
      <c r="E8" s="78" t="s">
        <v>309</v>
      </c>
      <c r="F8" s="79">
        <v>113</v>
      </c>
      <c r="G8" s="658"/>
    </row>
    <row r="9" spans="2:7" x14ac:dyDescent="0.3">
      <c r="B9" s="73" t="s">
        <v>74</v>
      </c>
      <c r="C9" s="74">
        <v>160</v>
      </c>
      <c r="G9" s="658"/>
    </row>
    <row r="10" spans="2:7" x14ac:dyDescent="0.3">
      <c r="B10" s="73" t="s">
        <v>156</v>
      </c>
      <c r="C10" s="74">
        <v>160</v>
      </c>
      <c r="G10" s="658"/>
    </row>
    <row r="11" spans="2:7" x14ac:dyDescent="0.3">
      <c r="B11" s="73" t="s">
        <v>150</v>
      </c>
      <c r="C11" s="74">
        <v>181</v>
      </c>
      <c r="G11" s="658"/>
    </row>
    <row r="12" spans="2:7" x14ac:dyDescent="0.3">
      <c r="B12" s="73" t="s">
        <v>540</v>
      </c>
      <c r="C12" s="74">
        <v>126</v>
      </c>
      <c r="G12" s="658"/>
    </row>
    <row r="13" spans="2:7" x14ac:dyDescent="0.3">
      <c r="B13" s="80" t="s">
        <v>155</v>
      </c>
      <c r="C13" s="81">
        <v>160</v>
      </c>
      <c r="G13" s="658"/>
    </row>
    <row r="16" spans="2:7" x14ac:dyDescent="0.3">
      <c r="B16" s="436" t="s">
        <v>541</v>
      </c>
    </row>
    <row r="17" spans="2:7" x14ac:dyDescent="0.3">
      <c r="B17" t="s">
        <v>332</v>
      </c>
      <c r="C17" s="453">
        <v>13587</v>
      </c>
      <c r="E17" s="658"/>
      <c r="G17" s="658"/>
    </row>
    <row r="18" spans="2:7" x14ac:dyDescent="0.3">
      <c r="B18" t="s">
        <v>349</v>
      </c>
      <c r="C18" s="453">
        <v>6794</v>
      </c>
      <c r="E18" s="658"/>
      <c r="G18" s="658"/>
    </row>
    <row r="19" spans="2:7" x14ac:dyDescent="0.3">
      <c r="B19" t="s">
        <v>542</v>
      </c>
      <c r="C19" s="453">
        <v>2718</v>
      </c>
      <c r="E19" s="658"/>
      <c r="F19" s="658"/>
      <c r="G19" s="658"/>
    </row>
    <row r="20" spans="2:7" x14ac:dyDescent="0.3">
      <c r="B20" t="s">
        <v>543</v>
      </c>
      <c r="C20" s="453">
        <v>1699</v>
      </c>
      <c r="E20" s="658"/>
      <c r="G20" s="658"/>
    </row>
    <row r="21" spans="2:7" x14ac:dyDescent="0.3">
      <c r="B21" t="s">
        <v>544</v>
      </c>
      <c r="C21" s="453">
        <v>679</v>
      </c>
      <c r="E21" s="658"/>
      <c r="G21" s="658"/>
    </row>
    <row r="23" spans="2:7" x14ac:dyDescent="0.3">
      <c r="B23" s="436" t="s">
        <v>545</v>
      </c>
    </row>
    <row r="24" spans="2:7" x14ac:dyDescent="0.3">
      <c r="B24" t="s">
        <v>546</v>
      </c>
      <c r="C24" s="453">
        <f>C19*2</f>
        <v>5436</v>
      </c>
      <c r="E24" s="658"/>
    </row>
    <row r="25" spans="2:7" x14ac:dyDescent="0.3">
      <c r="B25" t="s">
        <v>547</v>
      </c>
      <c r="C25" s="453">
        <f>C20*2</f>
        <v>3398</v>
      </c>
    </row>
    <row r="26" spans="2:7" x14ac:dyDescent="0.3">
      <c r="B26" t="s">
        <v>548</v>
      </c>
      <c r="C26" s="453">
        <f>C21*2</f>
        <v>1358</v>
      </c>
    </row>
  </sheetData>
  <sheetProtection algorithmName="SHA-512" hashValue="uxZbHzKO+hVR3RK5PzeSfCWeR72dy7gtNBfU1iwvLMDjeXDl4ohFPAPbaDxEjDUB5wu6bTIPwj7zPTFoSrTURA==" saltValue="+InlHcXLsU0u+mn37xj0rw==" spinCount="100000" sheet="1" objects="1" scenarios="1"/>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155DE4-82F1-4551-BBE1-FEE190C66CA9}">
  <dimension ref="A1:D34"/>
  <sheetViews>
    <sheetView topLeftCell="A10" workbookViewId="0">
      <selection activeCell="B32" sqref="B32"/>
    </sheetView>
  </sheetViews>
  <sheetFormatPr defaultRowHeight="14.4" x14ac:dyDescent="0.3"/>
  <cols>
    <col min="2" max="2" width="79.44140625" bestFit="1" customWidth="1"/>
  </cols>
  <sheetData>
    <row r="1" spans="1:4" x14ac:dyDescent="0.3">
      <c r="A1" t="s">
        <v>549</v>
      </c>
      <c r="B1" t="s">
        <v>550</v>
      </c>
      <c r="C1" t="s">
        <v>551</v>
      </c>
    </row>
    <row r="2" spans="1:4" x14ac:dyDescent="0.3">
      <c r="A2">
        <v>1</v>
      </c>
      <c r="B2" t="s">
        <v>37</v>
      </c>
      <c r="C2" t="s">
        <v>552</v>
      </c>
    </row>
    <row r="3" spans="1:4" x14ac:dyDescent="0.3">
      <c r="A3">
        <v>2</v>
      </c>
      <c r="B3" t="s">
        <v>553</v>
      </c>
      <c r="C3" t="s">
        <v>554</v>
      </c>
    </row>
    <row r="5" spans="1:4" x14ac:dyDescent="0.3">
      <c r="A5" t="s">
        <v>555</v>
      </c>
      <c r="B5" t="s">
        <v>49</v>
      </c>
      <c r="C5" t="s">
        <v>556</v>
      </c>
    </row>
    <row r="6" spans="1:4" x14ac:dyDescent="0.3">
      <c r="A6">
        <v>1</v>
      </c>
      <c r="B6" t="s">
        <v>481</v>
      </c>
      <c r="C6" t="s">
        <v>557</v>
      </c>
      <c r="D6" t="s">
        <v>558</v>
      </c>
    </row>
    <row r="7" spans="1:4" x14ac:dyDescent="0.3">
      <c r="A7">
        <v>2</v>
      </c>
      <c r="B7" t="s">
        <v>482</v>
      </c>
      <c r="C7" t="s">
        <v>559</v>
      </c>
      <c r="D7" t="s">
        <v>560</v>
      </c>
    </row>
    <row r="8" spans="1:4" x14ac:dyDescent="0.3">
      <c r="A8">
        <v>3</v>
      </c>
      <c r="B8" t="s">
        <v>483</v>
      </c>
      <c r="C8" t="s">
        <v>561</v>
      </c>
      <c r="D8" t="s">
        <v>562</v>
      </c>
    </row>
    <row r="9" spans="1:4" x14ac:dyDescent="0.3">
      <c r="A9">
        <v>4</v>
      </c>
      <c r="B9" t="s">
        <v>484</v>
      </c>
      <c r="C9" t="s">
        <v>563</v>
      </c>
      <c r="D9" t="s">
        <v>564</v>
      </c>
    </row>
    <row r="10" spans="1:4" x14ac:dyDescent="0.3">
      <c r="A10">
        <v>5</v>
      </c>
      <c r="B10" t="s">
        <v>485</v>
      </c>
      <c r="C10" t="s">
        <v>565</v>
      </c>
      <c r="D10" t="s">
        <v>566</v>
      </c>
    </row>
    <row r="12" spans="1:4" x14ac:dyDescent="0.3">
      <c r="A12" t="s">
        <v>555</v>
      </c>
      <c r="B12" t="s">
        <v>51</v>
      </c>
      <c r="C12" t="s">
        <v>567</v>
      </c>
    </row>
    <row r="13" spans="1:4" x14ac:dyDescent="0.3">
      <c r="A13">
        <v>1</v>
      </c>
      <c r="B13" t="s">
        <v>568</v>
      </c>
    </row>
    <row r="14" spans="1:4" x14ac:dyDescent="0.3">
      <c r="A14">
        <v>2</v>
      </c>
      <c r="B14" t="s">
        <v>569</v>
      </c>
    </row>
    <row r="16" spans="1:4" x14ac:dyDescent="0.3">
      <c r="B16" t="s">
        <v>570</v>
      </c>
    </row>
    <row r="17" spans="1:3" x14ac:dyDescent="0.3">
      <c r="A17" t="s">
        <v>555</v>
      </c>
      <c r="B17" s="641" t="s">
        <v>51</v>
      </c>
    </row>
    <row r="18" spans="1:3" x14ac:dyDescent="0.3">
      <c r="A18">
        <v>1</v>
      </c>
      <c r="B18" s="642" t="str">
        <f>IF(Vragenlijst!$E$13='Drop Down '!B3,"[Selecteer keuze]","Integraal")</f>
        <v>Integraal</v>
      </c>
    </row>
    <row r="19" spans="1:3" x14ac:dyDescent="0.3">
      <c r="A19">
        <v>2</v>
      </c>
      <c r="B19" s="643" t="str">
        <f>IF(Vragenlijst!$E$13='Drop Down '!B3,"[Selecteer keuze]","Partieel")</f>
        <v>Partieel</v>
      </c>
    </row>
    <row r="21" spans="1:3" x14ac:dyDescent="0.3">
      <c r="B21" t="s">
        <v>570</v>
      </c>
    </row>
    <row r="22" spans="1:3" x14ac:dyDescent="0.3">
      <c r="A22" t="s">
        <v>555</v>
      </c>
      <c r="B22" s="641" t="s">
        <v>51</v>
      </c>
      <c r="C22" t="s">
        <v>571</v>
      </c>
    </row>
    <row r="23" spans="1:3" x14ac:dyDescent="0.3">
      <c r="A23">
        <v>1</v>
      </c>
      <c r="B23" s="642" t="str">
        <f>IF(Vragenlijst!$E$13='Drop Down '!B3,"[Selecteer keuze]","Omgevingsplan")</f>
        <v>Omgevingsplan</v>
      </c>
      <c r="C23" s="564" t="s">
        <v>572</v>
      </c>
    </row>
    <row r="24" spans="1:3" x14ac:dyDescent="0.3">
      <c r="A24">
        <v>2</v>
      </c>
      <c r="B24" s="642" t="str">
        <f>IF(Vragenlijst!$E$13='Drop Down '!B3,"[Selecteer keuze]","Omgevingsvergunning voor een BOPA")</f>
        <v>Omgevingsvergunning voor een BOPA</v>
      </c>
      <c r="C24" s="564" t="s">
        <v>573</v>
      </c>
    </row>
    <row r="25" spans="1:3" x14ac:dyDescent="0.3">
      <c r="A25">
        <v>3</v>
      </c>
      <c r="B25" s="643" t="str">
        <f>IF(Vragenlijst!$E$13='Drop Down '!B3,"[Selecteer keuze]","Projectbesluit")</f>
        <v>Projectbesluit</v>
      </c>
      <c r="C25" s="564" t="s">
        <v>574</v>
      </c>
    </row>
    <row r="27" spans="1:3" x14ac:dyDescent="0.3">
      <c r="A27" t="s">
        <v>555</v>
      </c>
      <c r="B27" t="s">
        <v>51</v>
      </c>
    </row>
    <row r="28" spans="1:3" x14ac:dyDescent="0.3">
      <c r="A28">
        <v>1</v>
      </c>
      <c r="B28" t="s">
        <v>582</v>
      </c>
    </row>
    <row r="29" spans="1:3" x14ac:dyDescent="0.3">
      <c r="A29">
        <v>2</v>
      </c>
      <c r="B29" t="s">
        <v>590</v>
      </c>
    </row>
    <row r="30" spans="1:3" x14ac:dyDescent="0.3">
      <c r="A30">
        <v>3</v>
      </c>
      <c r="B30" t="s">
        <v>591</v>
      </c>
    </row>
    <row r="31" spans="1:3" x14ac:dyDescent="0.3">
      <c r="A31">
        <v>4</v>
      </c>
      <c r="B31" t="s">
        <v>592</v>
      </c>
    </row>
    <row r="32" spans="1:3" x14ac:dyDescent="0.3">
      <c r="A32">
        <v>5</v>
      </c>
      <c r="B32" t="s">
        <v>575</v>
      </c>
    </row>
    <row r="34" spans="3:3" x14ac:dyDescent="0.3">
      <c r="C34" s="564"/>
    </row>
  </sheetData>
  <sheetProtection algorithmName="SHA-512" hashValue="cWEz4Mql4Q5/eCQ8SfMGB48Zpk45BEFb7pQJQ2nwbJ7X7k9mBV8D6Leci1xUjo7xOBszjbxlovXKckky/8Ku9A==" saltValue="HR2XeT13FTuTkZDQ6BqhKA==" spinCount="100000" sheet="1" objects="1" scenarios="1"/>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1932E5-9FD9-4A15-BF29-3AA7DEA7BB33}">
  <dimension ref="B6:B45"/>
  <sheetViews>
    <sheetView showGridLines="0" workbookViewId="0">
      <selection activeCell="B27" sqref="B27"/>
    </sheetView>
  </sheetViews>
  <sheetFormatPr defaultRowHeight="14.4" x14ac:dyDescent="0.3"/>
  <cols>
    <col min="1" max="1" width="3.77734375" customWidth="1"/>
    <col min="2" max="2" width="191.5546875" customWidth="1"/>
  </cols>
  <sheetData>
    <row r="6" spans="2:2" ht="15" thickBot="1" x14ac:dyDescent="0.35"/>
    <row r="7" spans="2:2" ht="16.2" x14ac:dyDescent="0.3">
      <c r="B7" s="667" t="s">
        <v>0</v>
      </c>
    </row>
    <row r="8" spans="2:2" ht="16.2" x14ac:dyDescent="0.3">
      <c r="B8" s="668"/>
    </row>
    <row r="9" spans="2:2" x14ac:dyDescent="0.3">
      <c r="B9" s="669"/>
    </row>
    <row r="10" spans="2:2" x14ac:dyDescent="0.3">
      <c r="B10" s="670" t="s">
        <v>1</v>
      </c>
    </row>
    <row r="11" spans="2:2" x14ac:dyDescent="0.3">
      <c r="B11" s="670" t="s">
        <v>2</v>
      </c>
    </row>
    <row r="12" spans="2:2" x14ac:dyDescent="0.3">
      <c r="B12" s="670" t="s">
        <v>3</v>
      </c>
    </row>
    <row r="13" spans="2:2" x14ac:dyDescent="0.3">
      <c r="B13" s="670" t="s">
        <v>4</v>
      </c>
    </row>
    <row r="14" spans="2:2" x14ac:dyDescent="0.3">
      <c r="B14" s="670" t="s">
        <v>5</v>
      </c>
    </row>
    <row r="15" spans="2:2" x14ac:dyDescent="0.3">
      <c r="B15" s="670" t="s">
        <v>6</v>
      </c>
    </row>
    <row r="16" spans="2:2" x14ac:dyDescent="0.3">
      <c r="B16" s="670" t="s">
        <v>7</v>
      </c>
    </row>
    <row r="17" spans="2:2" x14ac:dyDescent="0.3">
      <c r="B17" s="670" t="s">
        <v>8</v>
      </c>
    </row>
    <row r="18" spans="2:2" ht="15" thickBot="1" x14ac:dyDescent="0.35">
      <c r="B18" s="671"/>
    </row>
    <row r="20" spans="2:2" ht="15" thickBot="1" x14ac:dyDescent="0.35"/>
    <row r="21" spans="2:2" ht="16.2" x14ac:dyDescent="0.3">
      <c r="B21" s="667" t="s">
        <v>9</v>
      </c>
    </row>
    <row r="22" spans="2:2" ht="16.2" x14ac:dyDescent="0.3">
      <c r="B22" s="668"/>
    </row>
    <row r="23" spans="2:2" x14ac:dyDescent="0.3">
      <c r="B23" s="669"/>
    </row>
    <row r="24" spans="2:2" x14ac:dyDescent="0.3">
      <c r="B24" s="670" t="s">
        <v>10</v>
      </c>
    </row>
    <row r="25" spans="2:2" x14ac:dyDescent="0.3">
      <c r="B25" s="670"/>
    </row>
    <row r="26" spans="2:2" x14ac:dyDescent="0.3">
      <c r="B26" s="670" t="s">
        <v>11</v>
      </c>
    </row>
    <row r="27" spans="2:2" x14ac:dyDescent="0.3">
      <c r="B27" s="670" t="s">
        <v>12</v>
      </c>
    </row>
    <row r="28" spans="2:2" x14ac:dyDescent="0.3">
      <c r="B28" s="670" t="s">
        <v>13</v>
      </c>
    </row>
    <row r="29" spans="2:2" x14ac:dyDescent="0.3">
      <c r="B29" s="670" t="s">
        <v>14</v>
      </c>
    </row>
    <row r="30" spans="2:2" x14ac:dyDescent="0.3">
      <c r="B30" s="670" t="s">
        <v>15</v>
      </c>
    </row>
    <row r="31" spans="2:2" x14ac:dyDescent="0.3">
      <c r="B31" s="670" t="s">
        <v>16</v>
      </c>
    </row>
    <row r="32" spans="2:2" x14ac:dyDescent="0.3">
      <c r="B32" s="670" t="s">
        <v>17</v>
      </c>
    </row>
    <row r="33" spans="2:2" x14ac:dyDescent="0.3">
      <c r="B33" s="670" t="s">
        <v>18</v>
      </c>
    </row>
    <row r="34" spans="2:2" x14ac:dyDescent="0.3">
      <c r="B34" s="670" t="s">
        <v>19</v>
      </c>
    </row>
    <row r="35" spans="2:2" x14ac:dyDescent="0.3">
      <c r="B35" s="670" t="s">
        <v>20</v>
      </c>
    </row>
    <row r="36" spans="2:2" x14ac:dyDescent="0.3">
      <c r="B36" s="670" t="s">
        <v>21</v>
      </c>
    </row>
    <row r="37" spans="2:2" x14ac:dyDescent="0.3">
      <c r="B37" s="670" t="s">
        <v>22</v>
      </c>
    </row>
    <row r="38" spans="2:2" x14ac:dyDescent="0.3">
      <c r="B38" s="670"/>
    </row>
    <row r="39" spans="2:2" x14ac:dyDescent="0.3">
      <c r="B39" s="670" t="s">
        <v>23</v>
      </c>
    </row>
    <row r="40" spans="2:2" x14ac:dyDescent="0.3">
      <c r="B40" s="670" t="s">
        <v>24</v>
      </c>
    </row>
    <row r="41" spans="2:2" x14ac:dyDescent="0.3">
      <c r="B41" s="670" t="s">
        <v>25</v>
      </c>
    </row>
    <row r="42" spans="2:2" x14ac:dyDescent="0.3">
      <c r="B42" s="670" t="s">
        <v>26</v>
      </c>
    </row>
    <row r="43" spans="2:2" x14ac:dyDescent="0.3">
      <c r="B43" s="670" t="s">
        <v>27</v>
      </c>
    </row>
    <row r="44" spans="2:2" x14ac:dyDescent="0.3">
      <c r="B44" s="670" t="s">
        <v>28</v>
      </c>
    </row>
    <row r="45" spans="2:2" ht="15" thickBot="1" x14ac:dyDescent="0.35">
      <c r="B45" s="671"/>
    </row>
  </sheetData>
  <sheetProtection algorithmName="SHA-512" hashValue="XZCGxvbJiEAW796sCSyftVRBWMaaW9Vg5i4CWkJ6nFvj3Dw6Q1WwJxhCG/dcZuTJUX7lAlPtbtVz6hceMfRL9w==" saltValue="Y9DmyWNk7xCaT49uOBOrHQ==" spinCount="100000" sheet="1" objects="1" scenarios="1"/>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A59369-32DF-4C94-A017-CA075636BFF2}">
  <dimension ref="B1:N343"/>
  <sheetViews>
    <sheetView showGridLines="0" topLeftCell="D1" zoomScale="105" zoomScaleNormal="168" workbookViewId="0">
      <selection activeCell="E5" sqref="E5"/>
    </sheetView>
  </sheetViews>
  <sheetFormatPr defaultColWidth="8.77734375" defaultRowHeight="12" x14ac:dyDescent="0.25"/>
  <cols>
    <col min="1" max="1" width="2.77734375" style="27" customWidth="1"/>
    <col min="2" max="2" width="1.44140625" style="14" customWidth="1"/>
    <col min="3" max="3" width="3.5546875" style="24" customWidth="1"/>
    <col min="4" max="4" width="102.77734375" style="22" customWidth="1"/>
    <col min="5" max="5" width="35" style="23" customWidth="1"/>
    <col min="6" max="6" width="8.21875" style="23" customWidth="1"/>
    <col min="7" max="7" width="24.5546875" style="14" customWidth="1"/>
    <col min="8" max="8" width="17.44140625" style="14" customWidth="1"/>
    <col min="9" max="9" width="18.44140625" style="14" customWidth="1"/>
    <col min="10" max="10" width="10.5546875" style="20" customWidth="1"/>
    <col min="11" max="11" width="3.21875" style="15" customWidth="1"/>
    <col min="12" max="12" width="48.5546875" style="26" customWidth="1"/>
    <col min="13" max="13" width="24.77734375" style="20" customWidth="1"/>
    <col min="14" max="14" width="31.21875" style="20" customWidth="1"/>
    <col min="15" max="16384" width="8.77734375" style="27"/>
  </cols>
  <sheetData>
    <row r="1" spans="2:14" ht="12.6" thickBot="1" x14ac:dyDescent="0.3">
      <c r="B1" s="25"/>
      <c r="C1" s="68"/>
    </row>
    <row r="2" spans="2:14" ht="16.2" x14ac:dyDescent="0.3">
      <c r="B2" s="249" t="str">
        <f>"Plankostenregels bij kostenverhaal "&amp;E13</f>
        <v>Plankostenregels bij kostenverhaal Met tijdvak</v>
      </c>
      <c r="C2" s="250"/>
      <c r="D2" s="250"/>
      <c r="E2" s="250"/>
      <c r="F2" s="250"/>
      <c r="G2" s="250"/>
      <c r="H2" s="250"/>
      <c r="I2" s="250"/>
      <c r="J2" s="251"/>
      <c r="K2" s="56"/>
      <c r="L2" s="570"/>
      <c r="M2" s="28"/>
      <c r="N2" s="29"/>
    </row>
    <row r="3" spans="2:14" ht="16.2" x14ac:dyDescent="0.3">
      <c r="B3" s="252"/>
      <c r="C3" s="244"/>
      <c r="D3" s="244"/>
      <c r="E3" s="244"/>
      <c r="F3" s="244"/>
      <c r="G3" s="244"/>
      <c r="H3" s="244"/>
      <c r="I3" s="244"/>
      <c r="J3" s="245"/>
      <c r="K3" s="56"/>
      <c r="L3" s="571"/>
      <c r="M3" s="30"/>
      <c r="N3" s="31"/>
    </row>
    <row r="4" spans="2:14" ht="16.8" thickBot="1" x14ac:dyDescent="0.35">
      <c r="B4" s="253" t="s">
        <v>29</v>
      </c>
      <c r="C4" s="254"/>
      <c r="D4" s="254"/>
      <c r="E4" s="254"/>
      <c r="F4" s="254"/>
      <c r="G4" s="254"/>
      <c r="H4" s="254"/>
      <c r="I4" s="254"/>
      <c r="J4" s="255"/>
      <c r="K4" s="56"/>
      <c r="L4" s="572"/>
      <c r="M4" s="32"/>
      <c r="N4" s="33"/>
    </row>
    <row r="5" spans="2:14" x14ac:dyDescent="0.25">
      <c r="B5" s="60"/>
      <c r="C5" s="246"/>
      <c r="D5" s="69" t="s">
        <v>30</v>
      </c>
      <c r="E5" s="682">
        <f ca="1">TODAY()</f>
        <v>46210</v>
      </c>
      <c r="F5" s="69"/>
      <c r="G5" s="69"/>
      <c r="H5" s="69"/>
      <c r="I5" s="69"/>
      <c r="J5" s="61"/>
      <c r="K5" s="56"/>
      <c r="L5" s="573"/>
      <c r="M5" s="34"/>
      <c r="N5" s="35"/>
    </row>
    <row r="6" spans="2:14" x14ac:dyDescent="0.25">
      <c r="B6" s="60"/>
      <c r="C6" s="246"/>
      <c r="D6" s="69" t="s">
        <v>31</v>
      </c>
      <c r="E6" s="683" t="s">
        <v>32</v>
      </c>
      <c r="F6" s="69"/>
      <c r="G6" s="69"/>
      <c r="H6" s="69"/>
      <c r="I6" s="69"/>
      <c r="J6" s="61"/>
      <c r="L6" s="574"/>
      <c r="M6" s="16"/>
      <c r="N6" s="37"/>
    </row>
    <row r="7" spans="2:14" x14ac:dyDescent="0.25">
      <c r="B7" s="60"/>
      <c r="C7" s="246"/>
      <c r="D7" s="69" t="s">
        <v>33</v>
      </c>
      <c r="E7" s="683" t="s">
        <v>32</v>
      </c>
      <c r="F7" s="69"/>
      <c r="G7" s="69"/>
      <c r="H7" s="69"/>
      <c r="I7" s="69"/>
      <c r="J7" s="61"/>
      <c r="L7" s="574"/>
      <c r="M7" s="16"/>
      <c r="N7" s="37"/>
    </row>
    <row r="8" spans="2:14" x14ac:dyDescent="0.25">
      <c r="B8" s="60"/>
      <c r="C8" s="246"/>
      <c r="D8" s="69" t="s">
        <v>34</v>
      </c>
      <c r="E8" s="683" t="s">
        <v>32</v>
      </c>
      <c r="F8" s="69"/>
      <c r="G8" s="69"/>
      <c r="H8" s="69"/>
      <c r="I8" s="69"/>
      <c r="J8" s="61"/>
      <c r="K8" s="56"/>
      <c r="L8" s="571"/>
      <c r="M8" s="30"/>
      <c r="N8" s="31"/>
    </row>
    <row r="9" spans="2:14" x14ac:dyDescent="0.25">
      <c r="B9" s="60"/>
      <c r="C9" s="246"/>
      <c r="D9" s="69"/>
      <c r="E9" s="69"/>
      <c r="F9" s="69"/>
      <c r="G9" s="69"/>
      <c r="H9" s="69"/>
      <c r="I9" s="69"/>
      <c r="J9" s="61"/>
      <c r="K9" s="56"/>
      <c r="L9" s="571"/>
      <c r="M9" s="30"/>
      <c r="N9" s="31"/>
    </row>
    <row r="10" spans="2:14" ht="12.6" thickBot="1" x14ac:dyDescent="0.3">
      <c r="B10" s="62"/>
      <c r="C10" s="232"/>
      <c r="D10" s="247"/>
      <c r="E10" s="247"/>
      <c r="F10" s="247"/>
      <c r="G10" s="247"/>
      <c r="H10" s="247"/>
      <c r="I10" s="247"/>
      <c r="J10" s="63"/>
      <c r="K10" s="56"/>
      <c r="L10" s="571"/>
      <c r="M10" s="30"/>
      <c r="N10" s="31"/>
    </row>
    <row r="11" spans="2:14" ht="12.6" thickBot="1" x14ac:dyDescent="0.3">
      <c r="B11" s="263"/>
      <c r="C11" s="266"/>
      <c r="D11" s="264" t="s">
        <v>35</v>
      </c>
      <c r="E11" s="264"/>
      <c r="F11" s="264"/>
      <c r="G11" s="264"/>
      <c r="H11" s="264"/>
      <c r="I11" s="264"/>
      <c r="J11" s="265"/>
      <c r="K11" s="56"/>
      <c r="L11" s="571"/>
      <c r="M11" s="30"/>
      <c r="N11" s="31"/>
    </row>
    <row r="12" spans="2:14" x14ac:dyDescent="0.25">
      <c r="B12" s="60"/>
      <c r="C12" s="55"/>
      <c r="D12" s="69"/>
      <c r="E12" s="69"/>
      <c r="F12" s="69"/>
      <c r="G12" s="69"/>
      <c r="H12" s="69"/>
      <c r="I12" s="69"/>
      <c r="J12" s="61"/>
      <c r="K12" s="56"/>
      <c r="L12" s="571"/>
      <c r="M12" s="30"/>
      <c r="N12" s="31"/>
    </row>
    <row r="13" spans="2:14" ht="12" customHeight="1" x14ac:dyDescent="0.25">
      <c r="B13" s="60"/>
      <c r="C13" s="55">
        <v>0</v>
      </c>
      <c r="D13" s="69" t="s">
        <v>36</v>
      </c>
      <c r="E13" s="683" t="s">
        <v>37</v>
      </c>
      <c r="F13" s="69"/>
      <c r="G13" s="691" t="str" cm="1">
        <f t="array" ref="G13">_xlfn.SWITCH(E13,'Drop Down '!$B$2,'Drop Down '!$C$2,'Drop Down '!$B$3,'Drop Down '!$C$3)</f>
        <v>Bij integrale gebiedsontwikkeling liggen tijdvak en eindbeeld in het omgevingsplan vast</v>
      </c>
      <c r="H13" s="692"/>
      <c r="I13" s="693"/>
      <c r="J13" s="61"/>
      <c r="K13" s="56"/>
      <c r="L13" s="571"/>
      <c r="M13" s="30"/>
      <c r="N13" s="31"/>
    </row>
    <row r="14" spans="2:14" x14ac:dyDescent="0.25">
      <c r="B14" s="60"/>
      <c r="C14" s="55"/>
      <c r="D14" s="69"/>
      <c r="E14" s="69"/>
      <c r="F14" s="69"/>
      <c r="G14" s="696"/>
      <c r="H14" s="697"/>
      <c r="I14" s="698"/>
      <c r="J14" s="61"/>
      <c r="K14" s="56"/>
      <c r="L14" s="571"/>
      <c r="M14" s="30"/>
      <c r="N14" s="31"/>
    </row>
    <row r="15" spans="2:14" x14ac:dyDescent="0.25">
      <c r="B15" s="60"/>
      <c r="C15" s="55"/>
      <c r="D15" s="69"/>
      <c r="E15" s="69"/>
      <c r="F15" s="69"/>
      <c r="G15" s="69"/>
      <c r="H15" s="69"/>
      <c r="I15" s="69"/>
      <c r="J15" s="61"/>
      <c r="K15" s="56"/>
      <c r="L15" s="571"/>
      <c r="M15" s="30"/>
      <c r="N15" s="31"/>
    </row>
    <row r="16" spans="2:14" ht="12.6" thickBot="1" x14ac:dyDescent="0.3">
      <c r="B16" s="62"/>
      <c r="C16" s="232"/>
      <c r="D16" s="247"/>
      <c r="E16" s="247"/>
      <c r="F16" s="247"/>
      <c r="G16" s="247"/>
      <c r="H16" s="247"/>
      <c r="I16" s="247"/>
      <c r="J16" s="63"/>
      <c r="K16" s="57"/>
      <c r="L16" s="586" t="s">
        <v>38</v>
      </c>
      <c r="M16" s="32"/>
      <c r="N16" s="33"/>
    </row>
    <row r="17" spans="2:14" ht="12.6" thickBot="1" x14ac:dyDescent="0.3">
      <c r="B17" s="263"/>
      <c r="C17" s="266"/>
      <c r="D17" s="264" t="s">
        <v>39</v>
      </c>
      <c r="E17" s="264"/>
      <c r="F17" s="264"/>
      <c r="G17" s="264"/>
      <c r="H17" s="264"/>
      <c r="I17" s="264"/>
      <c r="J17" s="265"/>
      <c r="L17" s="574"/>
      <c r="M17" s="16"/>
      <c r="N17" s="37"/>
    </row>
    <row r="18" spans="2:14" x14ac:dyDescent="0.25">
      <c r="B18" s="60"/>
      <c r="C18" s="55"/>
      <c r="D18" s="69"/>
      <c r="E18" s="69"/>
      <c r="F18" s="69"/>
      <c r="G18" s="69"/>
      <c r="H18" s="69"/>
      <c r="I18" s="69"/>
      <c r="J18" s="61"/>
      <c r="L18" s="574"/>
      <c r="M18" s="16"/>
      <c r="N18" s="37"/>
    </row>
    <row r="19" spans="2:14" x14ac:dyDescent="0.25">
      <c r="B19" s="60"/>
      <c r="C19" s="55"/>
      <c r="D19" s="98" t="s">
        <v>40</v>
      </c>
      <c r="E19" s="69"/>
      <c r="F19" s="69"/>
      <c r="G19" s="69"/>
      <c r="H19" s="69"/>
      <c r="I19" s="69"/>
      <c r="J19" s="61"/>
      <c r="L19" s="574"/>
      <c r="M19" s="16"/>
      <c r="N19" s="37"/>
    </row>
    <row r="20" spans="2:14" x14ac:dyDescent="0.25">
      <c r="B20" s="60"/>
      <c r="C20" s="55"/>
      <c r="D20" s="69"/>
      <c r="E20" s="69"/>
      <c r="F20" s="69"/>
      <c r="G20" s="69"/>
      <c r="H20" s="69"/>
      <c r="I20" s="69"/>
      <c r="J20" s="61"/>
      <c r="K20" s="45"/>
      <c r="L20" s="575"/>
      <c r="M20" s="38"/>
      <c r="N20" s="37"/>
    </row>
    <row r="21" spans="2:14" x14ac:dyDescent="0.25">
      <c r="B21" s="60"/>
      <c r="C21" s="55">
        <v>1</v>
      </c>
      <c r="D21" s="69" t="s">
        <v>41</v>
      </c>
      <c r="E21" s="683"/>
      <c r="F21" s="69" t="s">
        <v>42</v>
      </c>
      <c r="G21" s="69" t="str">
        <f>"De totale looptijd van het project is dan "&amp;IF(E21&gt;0,(IF(Productenlijst!K130&lt;=130%,2,IF(Productenlijst!K130&lt;150%,3,IF(Productenlijst!K130&gt;=150%,4,0))))+E21,0)&amp;" jaar"</f>
        <v>De totale looptijd van het project is dan 0 jaar</v>
      </c>
      <c r="H21" s="69"/>
      <c r="I21" s="69"/>
      <c r="J21" s="61"/>
      <c r="K21" s="15">
        <f>+C21</f>
        <v>1</v>
      </c>
      <c r="L21" s="576" t="s">
        <v>43</v>
      </c>
      <c r="M21" s="39"/>
      <c r="N21" s="40"/>
    </row>
    <row r="22" spans="2:14" x14ac:dyDescent="0.25">
      <c r="B22" s="60"/>
      <c r="C22" s="55"/>
      <c r="D22" s="69" t="s">
        <v>44</v>
      </c>
      <c r="E22" s="69"/>
      <c r="F22" s="69"/>
      <c r="G22" s="69"/>
      <c r="H22" s="69"/>
      <c r="I22" s="69"/>
      <c r="J22" s="61"/>
      <c r="L22" s="574"/>
      <c r="M22" s="16"/>
      <c r="N22" s="37"/>
    </row>
    <row r="23" spans="2:14" x14ac:dyDescent="0.25">
      <c r="B23" s="60"/>
      <c r="C23" s="55"/>
      <c r="D23" s="69"/>
      <c r="E23" s="69"/>
      <c r="F23" s="69"/>
      <c r="G23" s="69"/>
      <c r="H23" s="69"/>
      <c r="I23" s="69"/>
      <c r="J23" s="61"/>
      <c r="L23" s="577"/>
      <c r="M23" s="41"/>
      <c r="N23" s="42"/>
    </row>
    <row r="24" spans="2:14" x14ac:dyDescent="0.25">
      <c r="B24" s="60"/>
      <c r="C24" s="55">
        <v>2</v>
      </c>
      <c r="D24" s="69" t="s">
        <v>45</v>
      </c>
      <c r="E24" s="684"/>
      <c r="F24" s="69" t="s">
        <v>46</v>
      </c>
      <c r="G24" s="69" t="str">
        <f>(E24/10000)&amp;" ha."</f>
        <v>0 ha.</v>
      </c>
      <c r="H24" s="69"/>
      <c r="I24" s="69"/>
      <c r="J24" s="61"/>
      <c r="K24" s="15">
        <f>+C24</f>
        <v>2</v>
      </c>
      <c r="L24" s="576" t="s">
        <v>43</v>
      </c>
      <c r="M24" s="39"/>
      <c r="N24" s="40"/>
    </row>
    <row r="25" spans="2:14" x14ac:dyDescent="0.25">
      <c r="B25" s="60"/>
      <c r="C25" s="55"/>
      <c r="D25" s="69" t="s">
        <v>47</v>
      </c>
      <c r="E25" s="69"/>
      <c r="F25" s="69"/>
      <c r="G25" s="69"/>
      <c r="H25" s="69"/>
      <c r="I25" s="69"/>
      <c r="J25" s="61"/>
      <c r="L25" s="574"/>
      <c r="M25" s="16"/>
      <c r="N25" s="37"/>
    </row>
    <row r="26" spans="2:14" x14ac:dyDescent="0.25">
      <c r="B26" s="60"/>
      <c r="C26" s="55"/>
      <c r="D26" s="69"/>
      <c r="E26" s="69"/>
      <c r="F26" s="69"/>
      <c r="G26" s="69"/>
      <c r="H26" s="69"/>
      <c r="I26" s="69"/>
      <c r="J26" s="61"/>
      <c r="L26" s="577"/>
      <c r="M26" s="41"/>
      <c r="N26" s="42"/>
    </row>
    <row r="27" spans="2:14" x14ac:dyDescent="0.25">
      <c r="B27" s="60"/>
      <c r="C27" s="55">
        <v>3</v>
      </c>
      <c r="D27" s="69" t="s">
        <v>48</v>
      </c>
      <c r="E27" s="685" t="s">
        <v>49</v>
      </c>
      <c r="F27" s="69"/>
      <c r="G27" s="691" t="str" cm="1">
        <f t="array" ref="G27">_xlfn.SWITCH(E27,'Drop Down '!B5,'Drop Down '!C5,'Drop Down '!B6,'Drop Down '!C6,'Drop Down '!B7,'Drop Down '!C7,'Drop Down '!B8,'Drop Down '!C8,'Drop Down '!B9,'Drop Down '!C9,'Drop Down '!B10,'Drop Down '!C10)</f>
        <v>Selecteer een kostenverhaalslocatie</v>
      </c>
      <c r="H27" s="692"/>
      <c r="I27" s="693"/>
      <c r="J27" s="61"/>
      <c r="K27" s="15">
        <f>+C27</f>
        <v>3</v>
      </c>
      <c r="L27" s="576" t="s">
        <v>43</v>
      </c>
      <c r="M27" s="39"/>
      <c r="N27" s="40"/>
    </row>
    <row r="28" spans="2:14" x14ac:dyDescent="0.25">
      <c r="B28" s="60"/>
      <c r="C28" s="55"/>
      <c r="D28" s="69"/>
      <c r="E28" s="69"/>
      <c r="F28" s="69"/>
      <c r="G28" s="694"/>
      <c r="H28" s="690"/>
      <c r="I28" s="695"/>
      <c r="J28" s="61"/>
      <c r="L28" s="574"/>
      <c r="M28" s="16"/>
      <c r="N28" s="37"/>
    </row>
    <row r="29" spans="2:14" x14ac:dyDescent="0.25">
      <c r="B29" s="60"/>
      <c r="C29" s="55"/>
      <c r="D29" s="69"/>
      <c r="E29" s="69"/>
      <c r="F29" s="69"/>
      <c r="G29" s="694"/>
      <c r="H29" s="690"/>
      <c r="I29" s="695"/>
      <c r="J29" s="61"/>
      <c r="L29" s="574"/>
      <c r="M29" s="16"/>
      <c r="N29" s="37"/>
    </row>
    <row r="30" spans="2:14" x14ac:dyDescent="0.25">
      <c r="B30" s="60"/>
      <c r="C30" s="55"/>
      <c r="D30" s="69"/>
      <c r="E30" s="69"/>
      <c r="F30" s="69"/>
      <c r="G30" s="694"/>
      <c r="H30" s="690"/>
      <c r="I30" s="695"/>
      <c r="J30" s="61"/>
      <c r="L30" s="574"/>
      <c r="M30" s="16"/>
      <c r="N30" s="37"/>
    </row>
    <row r="31" spans="2:14" x14ac:dyDescent="0.25">
      <c r="B31" s="60"/>
      <c r="C31" s="55"/>
      <c r="D31" s="69"/>
      <c r="E31" s="69"/>
      <c r="F31" s="69"/>
      <c r="G31" s="694"/>
      <c r="H31" s="690"/>
      <c r="I31" s="695"/>
      <c r="J31" s="61"/>
      <c r="L31" s="574"/>
      <c r="M31" s="16"/>
      <c r="N31" s="37"/>
    </row>
    <row r="32" spans="2:14" x14ac:dyDescent="0.25">
      <c r="B32" s="60"/>
      <c r="C32" s="55"/>
      <c r="D32" s="69"/>
      <c r="E32" s="69"/>
      <c r="F32" s="69"/>
      <c r="G32" s="696"/>
      <c r="H32" s="697"/>
      <c r="I32" s="698"/>
      <c r="J32" s="61"/>
      <c r="L32" s="574"/>
      <c r="M32" s="16"/>
      <c r="N32" s="37"/>
    </row>
    <row r="33" spans="2:14" x14ac:dyDescent="0.25">
      <c r="B33" s="60"/>
      <c r="C33" s="55"/>
      <c r="D33" s="69"/>
      <c r="E33" s="69"/>
      <c r="F33" s="69"/>
      <c r="G33" s="69"/>
      <c r="H33" s="69"/>
      <c r="I33" s="69"/>
      <c r="J33" s="61"/>
      <c r="L33" s="577"/>
      <c r="M33" s="41"/>
      <c r="N33" s="42"/>
    </row>
    <row r="34" spans="2:14" x14ac:dyDescent="0.25">
      <c r="B34" s="60"/>
      <c r="C34" s="55">
        <v>4</v>
      </c>
      <c r="D34" s="69" t="s">
        <v>50</v>
      </c>
      <c r="E34" s="699" t="s">
        <v>51</v>
      </c>
      <c r="F34" s="700"/>
      <c r="G34" s="701"/>
      <c r="H34" s="69"/>
      <c r="I34" s="69"/>
      <c r="J34" s="61"/>
      <c r="K34" s="15">
        <f>+C34</f>
        <v>4</v>
      </c>
      <c r="L34" s="576" t="s">
        <v>43</v>
      </c>
      <c r="M34" s="39"/>
      <c r="N34" s="40"/>
    </row>
    <row r="35" spans="2:14" x14ac:dyDescent="0.25">
      <c r="B35" s="60"/>
      <c r="C35" s="55"/>
      <c r="D35" s="69"/>
      <c r="E35" s="69"/>
      <c r="F35" s="69"/>
      <c r="G35" s="69"/>
      <c r="H35" s="69"/>
      <c r="I35" s="69"/>
      <c r="J35" s="61"/>
      <c r="L35" s="577"/>
      <c r="M35" s="41"/>
      <c r="N35" s="42"/>
    </row>
    <row r="36" spans="2:14" x14ac:dyDescent="0.25">
      <c r="B36" s="60"/>
      <c r="C36" s="55">
        <v>5</v>
      </c>
      <c r="D36" s="69" t="s">
        <v>52</v>
      </c>
      <c r="E36" s="69"/>
      <c r="F36" s="69"/>
      <c r="G36" s="69"/>
      <c r="H36" s="69"/>
      <c r="I36" s="69"/>
      <c r="J36" s="61"/>
      <c r="K36" s="15">
        <f>+C36</f>
        <v>5</v>
      </c>
      <c r="L36" s="576" t="s">
        <v>43</v>
      </c>
      <c r="M36" s="39"/>
      <c r="N36" s="40"/>
    </row>
    <row r="37" spans="2:14" x14ac:dyDescent="0.25">
      <c r="B37" s="60"/>
      <c r="C37" s="55"/>
      <c r="D37" s="246" t="s">
        <v>53</v>
      </c>
      <c r="E37" s="684"/>
      <c r="F37" s="69"/>
      <c r="G37" s="69" t="s">
        <v>54</v>
      </c>
      <c r="H37" s="69"/>
      <c r="I37" s="69"/>
      <c r="J37" s="61"/>
      <c r="L37" s="574"/>
      <c r="M37" s="16"/>
      <c r="N37" s="37"/>
    </row>
    <row r="38" spans="2:14" x14ac:dyDescent="0.25">
      <c r="B38" s="60"/>
      <c r="C38" s="55"/>
      <c r="D38" s="246" t="s">
        <v>55</v>
      </c>
      <c r="E38" s="684"/>
      <c r="F38" s="69" t="s">
        <v>46</v>
      </c>
      <c r="G38" s="69" t="s">
        <v>56</v>
      </c>
      <c r="H38" s="69"/>
      <c r="I38" s="69"/>
      <c r="J38" s="61"/>
      <c r="L38" s="574"/>
      <c r="M38" s="16"/>
      <c r="N38" s="37"/>
    </row>
    <row r="39" spans="2:14" x14ac:dyDescent="0.25">
      <c r="B39" s="60"/>
      <c r="C39" s="55"/>
      <c r="D39" s="246" t="s">
        <v>57</v>
      </c>
      <c r="E39" s="684"/>
      <c r="F39" s="69" t="s">
        <v>46</v>
      </c>
      <c r="G39" s="69" t="s">
        <v>58</v>
      </c>
      <c r="H39" s="69"/>
      <c r="I39" s="69"/>
      <c r="J39" s="61"/>
      <c r="L39" s="574"/>
      <c r="M39" s="16"/>
      <c r="N39" s="37"/>
    </row>
    <row r="40" spans="2:14" x14ac:dyDescent="0.25">
      <c r="B40" s="60"/>
      <c r="C40" s="55"/>
      <c r="D40" s="246" t="s">
        <v>59</v>
      </c>
      <c r="E40" s="684"/>
      <c r="F40" s="69" t="s">
        <v>46</v>
      </c>
      <c r="G40" s="69" t="s">
        <v>58</v>
      </c>
      <c r="H40" s="69"/>
      <c r="I40" s="69"/>
      <c r="J40" s="61"/>
      <c r="L40" s="574"/>
      <c r="M40" s="16"/>
      <c r="N40" s="37"/>
    </row>
    <row r="41" spans="2:14" x14ac:dyDescent="0.25">
      <c r="B41" s="60"/>
      <c r="C41" s="55"/>
      <c r="D41" s="69"/>
      <c r="E41" s="69"/>
      <c r="F41" s="69"/>
      <c r="G41" s="69"/>
      <c r="H41" s="69"/>
      <c r="I41" s="69"/>
      <c r="J41" s="61"/>
      <c r="L41" s="574"/>
      <c r="M41" s="16"/>
      <c r="N41" s="37"/>
    </row>
    <row r="42" spans="2:14" x14ac:dyDescent="0.25">
      <c r="B42" s="60"/>
      <c r="C42" s="55"/>
      <c r="D42" s="246" t="s">
        <v>60</v>
      </c>
      <c r="E42" s="562">
        <f>IF(E24&gt;0,+(E37+((E38+E39+E40)/100))/E24*10000,0)</f>
        <v>0</v>
      </c>
      <c r="F42" s="98"/>
      <c r="G42" s="69" t="str">
        <f>"Woonequivalent per ha.: "&amp;IF(E42&lt;30,"Suburbaan",IF(E42&gt;100,"Hoogstedelijk","Stedelijk"))&amp;" woon-werkmilieu"</f>
        <v>Woonequivalent per ha.: Suburbaan woon-werkmilieu</v>
      </c>
      <c r="H42" s="98"/>
      <c r="I42" s="98"/>
      <c r="J42" s="61"/>
      <c r="L42" s="574"/>
      <c r="M42" s="16"/>
      <c r="N42" s="37"/>
    </row>
    <row r="43" spans="2:14" x14ac:dyDescent="0.25">
      <c r="B43" s="60"/>
      <c r="C43" s="55"/>
      <c r="D43" s="69"/>
      <c r="E43" s="69"/>
      <c r="F43" s="69"/>
      <c r="G43" s="69"/>
      <c r="H43" s="69"/>
      <c r="I43" s="69"/>
      <c r="J43" s="61"/>
      <c r="L43" s="574"/>
      <c r="M43" s="16"/>
      <c r="N43" s="37"/>
    </row>
    <row r="44" spans="2:14" ht="11.55" customHeight="1" x14ac:dyDescent="0.25">
      <c r="B44" s="60"/>
      <c r="C44" s="55" t="str">
        <f>IF(E13='Drop Down '!B2,"",6)</f>
        <v/>
      </c>
      <c r="D44" s="690" t="str">
        <f>IF(E13='Drop Down '!B2,"
Hoeveel m2 openbaar gebied wordt in het kostenverhaalsgebied aangelegd?","Hoeveel m2 openbaar gebied wordt in het kostenverhaalsgebied aangelegd door de gemeente aangelegd? 
Zoals ook in het scenario danwel stedenbouwkundig plan is aangegeven.")</f>
        <v xml:space="preserve">
Hoeveel m2 openbaar gebied wordt in het kostenverhaalsgebied aangelegd?</v>
      </c>
      <c r="E44" s="69"/>
      <c r="F44" s="69"/>
      <c r="G44" s="69"/>
      <c r="H44" s="69"/>
      <c r="I44" s="69"/>
      <c r="J44" s="61"/>
      <c r="L44" s="577"/>
      <c r="M44" s="41"/>
      <c r="N44" s="42"/>
    </row>
    <row r="45" spans="2:14" x14ac:dyDescent="0.25">
      <c r="B45" s="60"/>
      <c r="C45" s="55">
        <f>IF(E13='Drop Down '!B2,6,"")</f>
        <v>6</v>
      </c>
      <c r="D45" s="690"/>
      <c r="E45" s="684"/>
      <c r="F45" s="69" t="s">
        <v>46</v>
      </c>
      <c r="G45" s="69" t="str">
        <f>IFERROR(IF(E45&gt;0,ROUND((E45/E24)*100,1)&amp;"% ","")&amp; "Openbaar gebied (groen, verharding en water)","Vul omvang kostenverhaalsgebied in")</f>
        <v>Openbaar gebied (groen, verharding en water)</v>
      </c>
      <c r="H45" s="69"/>
      <c r="I45" s="248"/>
      <c r="J45" s="61"/>
      <c r="K45" s="15" t="str">
        <f>+C44</f>
        <v/>
      </c>
      <c r="L45" s="576" t="s">
        <v>43</v>
      </c>
      <c r="M45" s="39"/>
      <c r="N45" s="40"/>
    </row>
    <row r="46" spans="2:14" x14ac:dyDescent="0.25">
      <c r="B46" s="60"/>
      <c r="C46" s="55" t="s">
        <v>61</v>
      </c>
      <c r="D46" s="69" t="s">
        <v>62</v>
      </c>
      <c r="E46" s="684"/>
      <c r="F46" s="69" t="s">
        <v>46</v>
      </c>
      <c r="G46" s="69" t="str">
        <f>IFERROR(IF(E46&gt;0,ROUND((E46/E45)*100,1)&amp;"% ","")&amp; "Verharding","Vul Openbaar gebied in")</f>
        <v>Verharding</v>
      </c>
      <c r="H46" s="69"/>
      <c r="I46" s="248"/>
      <c r="J46" s="61"/>
      <c r="L46" s="574"/>
      <c r="M46" s="16"/>
      <c r="N46" s="37"/>
    </row>
    <row r="47" spans="2:14" x14ac:dyDescent="0.25">
      <c r="B47" s="60"/>
      <c r="C47" s="55" t="s">
        <v>63</v>
      </c>
      <c r="D47" s="69" t="s">
        <v>64</v>
      </c>
      <c r="E47" s="563">
        <f>E45-E46</f>
        <v>0</v>
      </c>
      <c r="F47" s="69" t="s">
        <v>46</v>
      </c>
      <c r="G47" s="69" t="str">
        <f>IFERROR(IF(E47&gt;0,ROUND((E47/E45)*100,1)&amp;"% ","")&amp; "Groen/Water","")</f>
        <v>Groen/Water</v>
      </c>
      <c r="H47" s="69"/>
      <c r="I47" s="248"/>
      <c r="J47" s="61"/>
      <c r="L47" s="574"/>
      <c r="M47" s="16"/>
      <c r="N47" s="37"/>
    </row>
    <row r="48" spans="2:14" x14ac:dyDescent="0.25">
      <c r="B48" s="60"/>
      <c r="C48" s="55"/>
      <c r="D48" s="69"/>
      <c r="E48" s="69"/>
      <c r="F48" s="69"/>
      <c r="G48" s="69"/>
      <c r="H48" s="69"/>
      <c r="I48" s="70"/>
      <c r="J48" s="61"/>
      <c r="L48" s="574"/>
      <c r="M48" s="16"/>
      <c r="N48" s="37"/>
    </row>
    <row r="49" spans="2:14" x14ac:dyDescent="0.25">
      <c r="B49" s="60"/>
      <c r="C49" s="55"/>
      <c r="D49" s="98" t="s">
        <v>65</v>
      </c>
      <c r="E49" s="69"/>
      <c r="F49" s="69"/>
      <c r="G49" s="69"/>
      <c r="H49" s="69"/>
      <c r="I49" s="69"/>
      <c r="J49" s="61"/>
      <c r="L49" s="574"/>
      <c r="M49" s="16"/>
      <c r="N49" s="37"/>
    </row>
    <row r="50" spans="2:14" x14ac:dyDescent="0.25">
      <c r="B50" s="60"/>
      <c r="C50" s="55"/>
      <c r="D50" s="69"/>
      <c r="E50" s="69"/>
      <c r="F50" s="69"/>
      <c r="G50" s="69"/>
      <c r="H50" s="69"/>
      <c r="I50" s="69"/>
      <c r="J50" s="61"/>
      <c r="L50" s="577"/>
      <c r="M50" s="41"/>
      <c r="N50" s="42"/>
    </row>
    <row r="51" spans="2:14" x14ac:dyDescent="0.25">
      <c r="B51" s="60"/>
      <c r="C51" s="55">
        <v>7</v>
      </c>
      <c r="D51" s="69" t="s">
        <v>66</v>
      </c>
      <c r="E51" s="685" t="s">
        <v>51</v>
      </c>
      <c r="F51" s="69"/>
      <c r="G51" s="69" t="s">
        <v>67</v>
      </c>
      <c r="H51" s="69"/>
      <c r="I51" s="69"/>
      <c r="J51" s="61"/>
      <c r="K51" s="15">
        <f>+C51</f>
        <v>7</v>
      </c>
      <c r="L51" s="576" t="s">
        <v>43</v>
      </c>
      <c r="M51" s="39"/>
      <c r="N51" s="40"/>
    </row>
    <row r="52" spans="2:14" x14ac:dyDescent="0.25">
      <c r="B52" s="60"/>
      <c r="C52" s="55"/>
      <c r="D52" s="69"/>
      <c r="E52" s="685" t="s">
        <v>51</v>
      </c>
      <c r="F52" s="69"/>
      <c r="G52" s="69" t="s">
        <v>68</v>
      </c>
      <c r="H52" s="69"/>
      <c r="I52" s="69"/>
      <c r="J52" s="61"/>
      <c r="L52" s="574"/>
      <c r="M52" s="16"/>
      <c r="N52" s="37"/>
    </row>
    <row r="53" spans="2:14" x14ac:dyDescent="0.25">
      <c r="B53" s="60"/>
      <c r="C53" s="55"/>
      <c r="D53" s="69"/>
      <c r="E53" s="685" t="s">
        <v>51</v>
      </c>
      <c r="F53" s="69"/>
      <c r="G53" s="69" t="s">
        <v>69</v>
      </c>
      <c r="H53" s="69"/>
      <c r="I53" s="69"/>
      <c r="J53" s="61"/>
      <c r="L53" s="574"/>
      <c r="M53" s="43"/>
      <c r="N53" s="44"/>
    </row>
    <row r="54" spans="2:14" x14ac:dyDescent="0.25">
      <c r="B54" s="60"/>
      <c r="C54" s="55"/>
      <c r="D54" s="69"/>
      <c r="E54" s="69"/>
      <c r="F54" s="69"/>
      <c r="G54" s="69"/>
      <c r="H54" s="69"/>
      <c r="I54" s="69"/>
      <c r="J54" s="61"/>
      <c r="L54" s="578"/>
      <c r="M54" s="43"/>
      <c r="N54" s="44"/>
    </row>
    <row r="55" spans="2:14" x14ac:dyDescent="0.25">
      <c r="B55" s="60"/>
      <c r="C55" s="55">
        <v>8</v>
      </c>
      <c r="D55" s="69" t="s">
        <v>70</v>
      </c>
      <c r="E55" s="685" t="s">
        <v>51</v>
      </c>
      <c r="F55" s="69"/>
      <c r="G55" s="69" t="s">
        <v>71</v>
      </c>
      <c r="H55" s="69"/>
      <c r="I55" s="69"/>
      <c r="J55" s="61"/>
      <c r="K55" s="15">
        <f>+C55</f>
        <v>8</v>
      </c>
      <c r="L55" s="576" t="s">
        <v>43</v>
      </c>
      <c r="M55" s="39"/>
      <c r="N55" s="40"/>
    </row>
    <row r="56" spans="2:14" x14ac:dyDescent="0.25">
      <c r="B56" s="60"/>
      <c r="C56" s="55"/>
      <c r="D56" s="69"/>
      <c r="E56" s="685" t="s">
        <v>51</v>
      </c>
      <c r="F56" s="69"/>
      <c r="G56" s="69" t="s">
        <v>72</v>
      </c>
      <c r="H56" s="69"/>
      <c r="I56" s="69"/>
      <c r="J56" s="61"/>
      <c r="L56" s="574"/>
      <c r="M56" s="16"/>
      <c r="N56" s="37"/>
    </row>
    <row r="57" spans="2:14" x14ac:dyDescent="0.25">
      <c r="B57" s="60"/>
      <c r="C57" s="55"/>
      <c r="D57" s="69"/>
      <c r="E57" s="685" t="s">
        <v>51</v>
      </c>
      <c r="F57" s="69"/>
      <c r="G57" s="69" t="s">
        <v>73</v>
      </c>
      <c r="H57" s="69"/>
      <c r="I57" s="248"/>
      <c r="J57" s="61"/>
      <c r="L57" s="574"/>
      <c r="M57" s="16"/>
      <c r="N57" s="37"/>
    </row>
    <row r="58" spans="2:14" x14ac:dyDescent="0.25">
      <c r="B58" s="60"/>
      <c r="C58" s="55"/>
      <c r="D58" s="69"/>
      <c r="E58" s="69"/>
      <c r="F58" s="69"/>
      <c r="G58" s="69"/>
      <c r="H58" s="69"/>
      <c r="I58" s="248"/>
      <c r="J58" s="61"/>
      <c r="L58" s="574"/>
      <c r="M58" s="16"/>
      <c r="N58" s="37"/>
    </row>
    <row r="59" spans="2:14" x14ac:dyDescent="0.25">
      <c r="B59" s="60"/>
      <c r="C59" s="55"/>
      <c r="D59" s="98" t="s">
        <v>74</v>
      </c>
      <c r="E59" s="69"/>
      <c r="F59" s="69"/>
      <c r="G59" s="69"/>
      <c r="H59" s="69"/>
      <c r="I59" s="69"/>
      <c r="J59" s="61"/>
      <c r="L59" s="574"/>
      <c r="M59" s="16"/>
      <c r="N59" s="37"/>
    </row>
    <row r="60" spans="2:14" x14ac:dyDescent="0.25">
      <c r="B60" s="60"/>
      <c r="C60" s="55"/>
      <c r="D60" s="69"/>
      <c r="E60" s="69"/>
      <c r="F60" s="69"/>
      <c r="G60" s="69"/>
      <c r="H60" s="69"/>
      <c r="I60" s="69"/>
      <c r="J60" s="61"/>
      <c r="L60" s="579"/>
      <c r="M60" s="41"/>
      <c r="N60" s="42"/>
    </row>
    <row r="61" spans="2:14" ht="12" customHeight="1" x14ac:dyDescent="0.25">
      <c r="B61" s="60"/>
      <c r="C61" s="55">
        <v>9</v>
      </c>
      <c r="D61" s="69" t="str">
        <f>IF(E13='Drop Down '!B2,"Welk type plan wordt opgesteld?","Deze vraag is niet van toepassing bij organische gebiedsontwikkeling")</f>
        <v>Welk type plan wordt opgesteld?</v>
      </c>
      <c r="E61" s="686" t="s">
        <v>51</v>
      </c>
      <c r="F61" s="69"/>
      <c r="G61" s="702" t="str" cm="1">
        <f t="array" ref="G61">IF(E13='Drop Down '!B2,_xlfn.SWITCH(E61,'Drop Down '!$B$22,'Drop Down '!$C$22,'Drop Down '!$B$23,'Drop Down '!$C$23,'Drop Down '!$B$24,'Drop Down '!$C$24,'Drop Down '!$B$25,'Drop Down '!$C$25),"N.V.T. bij organische gebiedsontwikkeling")</f>
        <v>Selecteer type plan</v>
      </c>
      <c r="H61" s="703"/>
      <c r="I61" s="704"/>
      <c r="J61" s="61"/>
      <c r="K61" s="15">
        <f>+C61</f>
        <v>9</v>
      </c>
      <c r="L61" s="576" t="s">
        <v>43</v>
      </c>
      <c r="M61" s="39"/>
      <c r="N61" s="40"/>
    </row>
    <row r="62" spans="2:14" x14ac:dyDescent="0.25">
      <c r="B62" s="60"/>
      <c r="C62" s="55"/>
      <c r="D62" s="69"/>
      <c r="E62" s="248"/>
      <c r="F62" s="69"/>
      <c r="G62" s="705"/>
      <c r="H62" s="706"/>
      <c r="I62" s="707"/>
      <c r="J62" s="61"/>
      <c r="L62" s="574"/>
      <c r="M62" s="16"/>
      <c r="N62" s="37"/>
    </row>
    <row r="63" spans="2:14" x14ac:dyDescent="0.25">
      <c r="B63" s="60"/>
      <c r="C63" s="55"/>
      <c r="D63" s="69"/>
      <c r="E63" s="248"/>
      <c r="F63" s="69"/>
      <c r="G63" s="708"/>
      <c r="H63" s="709"/>
      <c r="I63" s="710"/>
      <c r="J63" s="61"/>
      <c r="L63" s="574"/>
      <c r="M63" s="16"/>
      <c r="N63" s="37"/>
    </row>
    <row r="64" spans="2:14" x14ac:dyDescent="0.25">
      <c r="B64" s="60"/>
      <c r="C64" s="55"/>
      <c r="D64" s="69"/>
      <c r="E64" s="248"/>
      <c r="F64" s="69"/>
      <c r="G64" s="248"/>
      <c r="H64" s="69"/>
      <c r="I64" s="69"/>
      <c r="J64" s="61"/>
      <c r="L64" s="574"/>
      <c r="M64" s="16"/>
      <c r="N64" s="37"/>
    </row>
    <row r="65" spans="2:14" x14ac:dyDescent="0.25">
      <c r="B65" s="60"/>
      <c r="C65" s="55"/>
      <c r="D65" s="69"/>
      <c r="E65" s="69"/>
      <c r="F65" s="69"/>
      <c r="G65" s="248"/>
      <c r="H65" s="69"/>
      <c r="I65" s="69"/>
      <c r="J65" s="61"/>
      <c r="L65" s="577"/>
      <c r="M65" s="41"/>
      <c r="N65" s="42"/>
    </row>
    <row r="66" spans="2:14" x14ac:dyDescent="0.25">
      <c r="B66" s="60"/>
      <c r="C66" s="55">
        <v>10</v>
      </c>
      <c r="D66" s="69" t="s">
        <v>581</v>
      </c>
      <c r="E66" s="685" t="s">
        <v>51</v>
      </c>
      <c r="F66" s="69"/>
      <c r="G66" s="248" t="str">
        <f>IF(E66="Nee","Ga door naar vraag 11","")</f>
        <v/>
      </c>
      <c r="H66" s="69"/>
      <c r="I66" s="69"/>
      <c r="J66" s="61"/>
      <c r="K66" s="15">
        <f>+C66</f>
        <v>10</v>
      </c>
      <c r="L66" s="576" t="s">
        <v>43</v>
      </c>
      <c r="M66" s="39"/>
      <c r="N66" s="40"/>
    </row>
    <row r="67" spans="2:14" x14ac:dyDescent="0.25">
      <c r="B67" s="60"/>
      <c r="C67" s="55"/>
      <c r="D67" s="69" t="s">
        <v>75</v>
      </c>
      <c r="E67" s="683"/>
      <c r="F67" s="69" t="s">
        <v>76</v>
      </c>
      <c r="G67" s="69" t="s">
        <v>77</v>
      </c>
      <c r="H67" s="69"/>
      <c r="I67" s="69"/>
      <c r="J67" s="61"/>
      <c r="L67" s="574"/>
      <c r="M67" s="16"/>
      <c r="N67" s="37"/>
    </row>
    <row r="68" spans="2:14" x14ac:dyDescent="0.25">
      <c r="B68" s="60"/>
      <c r="C68" s="55"/>
      <c r="D68" s="97"/>
      <c r="E68" s="69"/>
      <c r="F68" s="69"/>
      <c r="G68" s="69"/>
      <c r="H68" s="69"/>
      <c r="I68" s="69"/>
      <c r="J68" s="61"/>
      <c r="L68" s="574"/>
      <c r="M68" s="16"/>
      <c r="N68" s="37"/>
    </row>
    <row r="69" spans="2:14" x14ac:dyDescent="0.25">
      <c r="B69" s="60"/>
      <c r="C69" s="55"/>
      <c r="D69" s="69"/>
      <c r="E69" s="69"/>
      <c r="F69" s="69"/>
      <c r="G69" s="69"/>
      <c r="H69" s="69"/>
      <c r="I69" s="69"/>
      <c r="J69" s="61"/>
      <c r="L69" s="574"/>
      <c r="M69" s="16"/>
      <c r="N69" s="37"/>
    </row>
    <row r="70" spans="2:14" x14ac:dyDescent="0.25">
      <c r="B70" s="60"/>
      <c r="C70" s="55"/>
      <c r="D70" s="98" t="s">
        <v>78</v>
      </c>
      <c r="E70" s="69"/>
      <c r="F70" s="69"/>
      <c r="G70" s="69"/>
      <c r="H70" s="69"/>
      <c r="I70" s="69"/>
      <c r="J70" s="61"/>
      <c r="L70" s="574"/>
      <c r="M70" s="16"/>
      <c r="N70" s="37"/>
    </row>
    <row r="71" spans="2:14" x14ac:dyDescent="0.25">
      <c r="B71" s="60"/>
      <c r="C71" s="55"/>
      <c r="D71" s="69"/>
      <c r="E71" s="246" t="s">
        <v>79</v>
      </c>
      <c r="F71" s="69"/>
      <c r="G71" s="246" t="s">
        <v>80</v>
      </c>
      <c r="H71" s="69"/>
      <c r="I71" s="69"/>
      <c r="J71" s="61"/>
      <c r="L71" s="577"/>
      <c r="M71" s="41"/>
      <c r="N71" s="42"/>
    </row>
    <row r="72" spans="2:14" x14ac:dyDescent="0.25">
      <c r="B72" s="60"/>
      <c r="C72" s="55">
        <v>11</v>
      </c>
      <c r="D72" s="69" t="s">
        <v>81</v>
      </c>
      <c r="E72" s="683"/>
      <c r="F72" s="69" t="s">
        <v>82</v>
      </c>
      <c r="G72" s="683"/>
      <c r="H72" s="69" t="s">
        <v>82</v>
      </c>
      <c r="I72" s="69"/>
      <c r="J72" s="61"/>
      <c r="K72" s="15">
        <f>+C72</f>
        <v>11</v>
      </c>
      <c r="L72" s="576" t="s">
        <v>43</v>
      </c>
      <c r="M72" s="39"/>
      <c r="N72" s="40"/>
    </row>
    <row r="73" spans="2:14" x14ac:dyDescent="0.25">
      <c r="B73" s="60"/>
      <c r="C73" s="55" t="s">
        <v>61</v>
      </c>
      <c r="D73" s="69" t="s">
        <v>83</v>
      </c>
      <c r="E73" s="683"/>
      <c r="F73" s="69" t="s">
        <v>84</v>
      </c>
      <c r="G73" s="683"/>
      <c r="H73" s="69" t="s">
        <v>84</v>
      </c>
      <c r="I73" s="69"/>
      <c r="J73" s="61"/>
      <c r="L73" s="580"/>
      <c r="M73" s="45"/>
      <c r="N73" s="46"/>
    </row>
    <row r="74" spans="2:14" x14ac:dyDescent="0.25">
      <c r="B74" s="60"/>
      <c r="C74" s="55" t="s">
        <v>63</v>
      </c>
      <c r="D74" s="69" t="s">
        <v>85</v>
      </c>
      <c r="E74" s="563">
        <f>E72-E73</f>
        <v>0</v>
      </c>
      <c r="F74" s="69" t="s">
        <v>84</v>
      </c>
      <c r="G74" s="563">
        <f>G72-G73</f>
        <v>0</v>
      </c>
      <c r="H74" s="69" t="s">
        <v>84</v>
      </c>
      <c r="I74" s="69"/>
      <c r="J74" s="61"/>
      <c r="L74" s="574"/>
      <c r="M74" s="16"/>
      <c r="N74" s="37"/>
    </row>
    <row r="75" spans="2:14" x14ac:dyDescent="0.25">
      <c r="B75" s="60"/>
      <c r="C75" s="55"/>
      <c r="D75" s="69"/>
      <c r="E75" s="69" t="str">
        <f>IF(SUM(E73:E74)&lt;&gt;E72,"a+b &lt;&gt; totaal","")</f>
        <v/>
      </c>
      <c r="F75" s="688"/>
      <c r="G75" s="69"/>
      <c r="H75" s="69"/>
      <c r="I75" s="248" t="str">
        <f>IF(SUM(G73:G74)&lt;&gt;G72,"a+b&lt;&gt; totaal","")</f>
        <v/>
      </c>
      <c r="J75" s="61"/>
      <c r="L75" s="577"/>
      <c r="M75" s="41"/>
      <c r="N75" s="42"/>
    </row>
    <row r="76" spans="2:14" x14ac:dyDescent="0.25">
      <c r="B76" s="60"/>
      <c r="C76" s="55">
        <v>12</v>
      </c>
      <c r="D76" s="69" t="s">
        <v>86</v>
      </c>
      <c r="E76" s="683"/>
      <c r="F76" s="69" t="s">
        <v>82</v>
      </c>
      <c r="G76" s="69"/>
      <c r="H76" s="69"/>
      <c r="I76" s="69"/>
      <c r="J76" s="61"/>
      <c r="K76" s="15">
        <f>+C76</f>
        <v>12</v>
      </c>
      <c r="L76" s="576" t="s">
        <v>43</v>
      </c>
      <c r="M76" s="39"/>
      <c r="N76" s="40"/>
    </row>
    <row r="77" spans="2:14" x14ac:dyDescent="0.25">
      <c r="B77" s="60"/>
      <c r="C77" s="55" t="s">
        <v>61</v>
      </c>
      <c r="D77" s="69" t="s">
        <v>87</v>
      </c>
      <c r="E77" s="683"/>
      <c r="F77" s="69" t="s">
        <v>84</v>
      </c>
      <c r="G77" s="69"/>
      <c r="H77" s="69"/>
      <c r="I77" s="69"/>
      <c r="J77" s="61"/>
      <c r="L77" s="574"/>
      <c r="M77" s="16"/>
      <c r="N77" s="37"/>
    </row>
    <row r="78" spans="2:14" x14ac:dyDescent="0.25">
      <c r="B78" s="60"/>
      <c r="C78" s="55" t="s">
        <v>63</v>
      </c>
      <c r="D78" s="69" t="s">
        <v>88</v>
      </c>
      <c r="E78" s="683"/>
      <c r="F78" s="69" t="s">
        <v>84</v>
      </c>
      <c r="G78" s="69"/>
      <c r="H78" s="69"/>
      <c r="I78" s="69"/>
      <c r="J78" s="61"/>
      <c r="L78" s="574"/>
      <c r="M78" s="16"/>
      <c r="N78" s="37"/>
    </row>
    <row r="79" spans="2:14" x14ac:dyDescent="0.25">
      <c r="B79" s="60"/>
      <c r="C79" s="55" t="s">
        <v>89</v>
      </c>
      <c r="D79" s="69" t="s">
        <v>90</v>
      </c>
      <c r="E79" s="683"/>
      <c r="F79" s="69" t="s">
        <v>84</v>
      </c>
      <c r="G79" s="69"/>
      <c r="H79" s="69"/>
      <c r="I79" s="69"/>
      <c r="J79" s="61"/>
      <c r="L79" s="574"/>
      <c r="M79" s="16"/>
      <c r="N79" s="37"/>
    </row>
    <row r="80" spans="2:14" x14ac:dyDescent="0.25">
      <c r="B80" s="60"/>
      <c r="C80" s="55" t="s">
        <v>91</v>
      </c>
      <c r="D80" s="69" t="s">
        <v>92</v>
      </c>
      <c r="E80" s="563">
        <f>E76-SUM(E77:E79)</f>
        <v>0</v>
      </c>
      <c r="F80" s="69" t="s">
        <v>84</v>
      </c>
      <c r="G80" s="69"/>
      <c r="H80" s="69"/>
      <c r="I80" s="69"/>
      <c r="J80" s="61"/>
      <c r="L80" s="574"/>
      <c r="M80" s="16"/>
      <c r="N80" s="37"/>
    </row>
    <row r="81" spans="2:14" x14ac:dyDescent="0.25">
      <c r="B81" s="60"/>
      <c r="C81" s="55"/>
      <c r="D81" s="69"/>
      <c r="E81" s="69"/>
      <c r="F81" s="69" t="str">
        <f>IF(SUM(E77:E80)&lt;&gt;E76,"a+b+c+d&lt;&gt; totaal","")</f>
        <v/>
      </c>
      <c r="G81" s="69"/>
      <c r="H81" s="69"/>
      <c r="I81" s="69"/>
      <c r="J81" s="61"/>
      <c r="L81" s="577"/>
      <c r="M81" s="41"/>
      <c r="N81" s="42"/>
    </row>
    <row r="82" spans="2:14" x14ac:dyDescent="0.25">
      <c r="B82" s="60"/>
      <c r="C82" s="55">
        <v>13</v>
      </c>
      <c r="D82" s="69" t="s">
        <v>93</v>
      </c>
      <c r="E82" s="683"/>
      <c r="F82" s="69" t="s">
        <v>84</v>
      </c>
      <c r="G82" s="69"/>
      <c r="H82" s="69"/>
      <c r="I82" s="69"/>
      <c r="J82" s="61"/>
      <c r="K82" s="15">
        <f>+C82</f>
        <v>13</v>
      </c>
      <c r="L82" s="576" t="s">
        <v>43</v>
      </c>
      <c r="M82" s="39"/>
      <c r="N82" s="40"/>
    </row>
    <row r="83" spans="2:14" x14ac:dyDescent="0.25">
      <c r="B83" s="60"/>
      <c r="C83" s="55"/>
      <c r="D83" s="69"/>
      <c r="E83" s="69"/>
      <c r="F83" s="69"/>
      <c r="G83" s="69"/>
      <c r="H83" s="69"/>
      <c r="I83" s="69"/>
      <c r="J83" s="61"/>
      <c r="L83" s="577"/>
      <c r="M83" s="41"/>
      <c r="N83" s="42"/>
    </row>
    <row r="84" spans="2:14" x14ac:dyDescent="0.25">
      <c r="B84" s="60"/>
      <c r="C84" s="55">
        <v>14</v>
      </c>
      <c r="D84" s="69" t="s">
        <v>94</v>
      </c>
      <c r="E84" s="69"/>
      <c r="F84" s="69"/>
      <c r="G84" s="69"/>
      <c r="H84" s="69"/>
      <c r="I84" s="69"/>
      <c r="J84" s="61"/>
      <c r="K84" s="15">
        <f>+C84</f>
        <v>14</v>
      </c>
      <c r="L84" s="576" t="s">
        <v>43</v>
      </c>
      <c r="M84" s="39"/>
      <c r="N84" s="40"/>
    </row>
    <row r="85" spans="2:14" x14ac:dyDescent="0.25">
      <c r="B85" s="60"/>
      <c r="C85" s="55" t="s">
        <v>61</v>
      </c>
      <c r="D85" s="69" t="s">
        <v>95</v>
      </c>
      <c r="E85" s="683"/>
      <c r="F85" s="69" t="s">
        <v>84</v>
      </c>
      <c r="G85" s="69"/>
      <c r="H85" s="69"/>
      <c r="I85" s="248" t="str">
        <f>IF(E85&gt;E76,"meer dan aantal verwervingen?","")</f>
        <v/>
      </c>
      <c r="J85" s="61"/>
      <c r="L85" s="574"/>
      <c r="M85" s="16"/>
      <c r="N85" s="37"/>
    </row>
    <row r="86" spans="2:14" x14ac:dyDescent="0.25">
      <c r="B86" s="60"/>
      <c r="C86" s="55" t="s">
        <v>63</v>
      </c>
      <c r="D86" s="69" t="s">
        <v>96</v>
      </c>
      <c r="E86" s="683"/>
      <c r="F86" s="69" t="s">
        <v>84</v>
      </c>
      <c r="G86" s="248"/>
      <c r="H86" s="248"/>
      <c r="I86" s="248" t="str">
        <f>IF(E86&gt;E85,"meer dan 14a?","")</f>
        <v/>
      </c>
      <c r="J86" s="61"/>
      <c r="L86" s="581"/>
      <c r="M86" s="17"/>
      <c r="N86" s="47"/>
    </row>
    <row r="87" spans="2:14" x14ac:dyDescent="0.25">
      <c r="B87" s="60"/>
      <c r="C87" s="55"/>
      <c r="D87" s="69"/>
      <c r="E87" s="69"/>
      <c r="F87" s="69"/>
      <c r="G87" s="69"/>
      <c r="H87" s="69"/>
      <c r="I87" s="69"/>
      <c r="J87" s="61"/>
      <c r="L87" s="574"/>
      <c r="M87" s="16"/>
      <c r="N87" s="37"/>
    </row>
    <row r="88" spans="2:14" x14ac:dyDescent="0.25">
      <c r="B88" s="60"/>
      <c r="C88" s="55"/>
      <c r="D88" s="69"/>
      <c r="E88" s="69"/>
      <c r="F88" s="69"/>
      <c r="G88" s="69"/>
      <c r="H88" s="69"/>
      <c r="I88" s="69"/>
      <c r="J88" s="61"/>
      <c r="L88" s="577"/>
      <c r="M88" s="41"/>
      <c r="N88" s="42"/>
    </row>
    <row r="89" spans="2:14" x14ac:dyDescent="0.25">
      <c r="B89" s="60"/>
      <c r="C89" s="55">
        <v>15</v>
      </c>
      <c r="D89" s="69" t="s">
        <v>97</v>
      </c>
      <c r="E89" s="685" t="s">
        <v>51</v>
      </c>
      <c r="F89" s="69"/>
      <c r="G89" s="69"/>
      <c r="H89" s="69"/>
      <c r="I89" s="69"/>
      <c r="J89" s="61"/>
      <c r="K89" s="15">
        <f>+C89</f>
        <v>15</v>
      </c>
      <c r="L89" s="576" t="s">
        <v>43</v>
      </c>
      <c r="M89" s="39"/>
      <c r="N89" s="40"/>
    </row>
    <row r="90" spans="2:14" x14ac:dyDescent="0.25">
      <c r="B90" s="60"/>
      <c r="C90" s="55"/>
      <c r="D90" s="69"/>
      <c r="E90" s="69"/>
      <c r="F90" s="69"/>
      <c r="G90" s="69"/>
      <c r="H90" s="69"/>
      <c r="I90" s="69"/>
      <c r="J90" s="61"/>
      <c r="K90" s="58"/>
      <c r="L90" s="582"/>
      <c r="M90" s="48"/>
      <c r="N90" s="49"/>
    </row>
    <row r="91" spans="2:14" ht="12.6" thickBot="1" x14ac:dyDescent="0.3">
      <c r="B91" s="233"/>
      <c r="C91" s="419"/>
      <c r="D91" s="420"/>
      <c r="E91" s="420"/>
      <c r="F91" s="420"/>
      <c r="G91" s="420"/>
      <c r="H91" s="420"/>
      <c r="I91" s="420"/>
      <c r="J91" s="236"/>
      <c r="K91" s="58"/>
      <c r="L91" s="582"/>
      <c r="M91" s="48"/>
      <c r="N91" s="49"/>
    </row>
    <row r="92" spans="2:14" ht="12.6" thickBot="1" x14ac:dyDescent="0.3">
      <c r="B92" s="263"/>
      <c r="C92" s="266"/>
      <c r="D92" s="264" t="s">
        <v>98</v>
      </c>
      <c r="E92" s="264"/>
      <c r="F92" s="264"/>
      <c r="G92" s="264"/>
      <c r="H92" s="264"/>
      <c r="I92" s="264"/>
      <c r="J92" s="265"/>
      <c r="L92" s="575"/>
      <c r="M92" s="14"/>
      <c r="N92" s="50"/>
    </row>
    <row r="93" spans="2:14" x14ac:dyDescent="0.25">
      <c r="B93" s="60"/>
      <c r="C93" s="55"/>
      <c r="D93" s="69"/>
      <c r="E93" s="69"/>
      <c r="F93" s="69"/>
      <c r="G93" s="69"/>
      <c r="H93" s="69"/>
      <c r="I93" s="69"/>
      <c r="J93" s="61"/>
      <c r="L93" s="574"/>
      <c r="M93" s="16"/>
      <c r="N93" s="37"/>
    </row>
    <row r="94" spans="2:14" x14ac:dyDescent="0.25">
      <c r="B94" s="60"/>
      <c r="C94" s="55"/>
      <c r="D94" s="98" t="s">
        <v>99</v>
      </c>
      <c r="E94" s="69"/>
      <c r="F94" s="69"/>
      <c r="G94" s="69"/>
      <c r="H94" s="69"/>
      <c r="I94" s="69"/>
      <c r="J94" s="61"/>
      <c r="L94" s="574"/>
      <c r="M94" s="16"/>
      <c r="N94" s="37"/>
    </row>
    <row r="95" spans="2:14" x14ac:dyDescent="0.25">
      <c r="B95" s="60"/>
      <c r="C95" s="55"/>
      <c r="D95" s="69"/>
      <c r="E95" s="69"/>
      <c r="F95" s="69"/>
      <c r="G95" s="69"/>
      <c r="H95" s="69"/>
      <c r="I95" s="69"/>
      <c r="J95" s="61"/>
      <c r="L95" s="577"/>
      <c r="M95" s="41"/>
      <c r="N95" s="42"/>
    </row>
    <row r="96" spans="2:14" x14ac:dyDescent="0.25">
      <c r="B96" s="60"/>
      <c r="C96" s="55">
        <v>16</v>
      </c>
      <c r="D96" s="69" t="s">
        <v>100</v>
      </c>
      <c r="E96" s="685" t="s">
        <v>51</v>
      </c>
      <c r="F96" s="69"/>
      <c r="G96" s="248" t="str">
        <f>IF(E96="Nee","Ga door naar vraag 17","")</f>
        <v/>
      </c>
      <c r="H96" s="69"/>
      <c r="I96" s="69"/>
      <c r="J96" s="61"/>
      <c r="K96" s="15">
        <f>+C96</f>
        <v>16</v>
      </c>
      <c r="L96" s="576" t="s">
        <v>43</v>
      </c>
      <c r="M96" s="51"/>
      <c r="N96" s="52"/>
    </row>
    <row r="97" spans="2:14" x14ac:dyDescent="0.25">
      <c r="B97" s="60"/>
      <c r="C97" s="55"/>
      <c r="D97" s="69"/>
      <c r="E97" s="69" t="str">
        <f>+IF(Q96=TRUE,"ga door naar vraag 17","")</f>
        <v/>
      </c>
      <c r="F97" s="69"/>
      <c r="G97" s="69"/>
      <c r="H97" s="69"/>
      <c r="I97" s="69"/>
      <c r="J97" s="61"/>
      <c r="L97" s="575"/>
      <c r="M97" s="14"/>
      <c r="N97" s="50"/>
    </row>
    <row r="98" spans="2:14" x14ac:dyDescent="0.25">
      <c r="B98" s="60"/>
      <c r="C98" s="55" t="s">
        <v>61</v>
      </c>
      <c r="D98" s="69" t="s">
        <v>101</v>
      </c>
      <c r="E98" s="687"/>
      <c r="F98" s="69" t="s">
        <v>102</v>
      </c>
      <c r="G98" s="69"/>
      <c r="H98" s="69"/>
      <c r="I98" s="69"/>
      <c r="J98" s="61"/>
      <c r="L98" s="575"/>
      <c r="M98" s="14"/>
      <c r="N98" s="50"/>
    </row>
    <row r="99" spans="2:14" x14ac:dyDescent="0.25">
      <c r="B99" s="60"/>
      <c r="C99" s="55"/>
      <c r="D99" s="69"/>
      <c r="E99" s="69"/>
      <c r="F99" s="69"/>
      <c r="G99" s="69"/>
      <c r="H99" s="69"/>
      <c r="I99" s="69"/>
      <c r="J99" s="61"/>
      <c r="L99" s="574"/>
      <c r="M99" s="16"/>
      <c r="N99" s="37"/>
    </row>
    <row r="100" spans="2:14" x14ac:dyDescent="0.25">
      <c r="B100" s="60"/>
      <c r="C100" s="55" t="s">
        <v>63</v>
      </c>
      <c r="D100" s="69" t="s">
        <v>103</v>
      </c>
      <c r="E100" s="683"/>
      <c r="F100" s="69" t="s">
        <v>104</v>
      </c>
      <c r="G100" s="69"/>
      <c r="H100" s="69"/>
      <c r="I100" s="69"/>
      <c r="J100" s="61"/>
      <c r="L100" s="574"/>
      <c r="M100" s="16"/>
      <c r="N100" s="37"/>
    </row>
    <row r="101" spans="2:14" x14ac:dyDescent="0.25">
      <c r="B101" s="60"/>
      <c r="C101" s="55"/>
      <c r="D101" s="69" t="s">
        <v>105</v>
      </c>
      <c r="E101" s="683"/>
      <c r="F101" s="69" t="s">
        <v>104</v>
      </c>
      <c r="G101" s="69"/>
      <c r="H101" s="69"/>
      <c r="I101" s="69"/>
      <c r="J101" s="61"/>
      <c r="L101" s="583"/>
      <c r="M101" s="16"/>
      <c r="N101" s="37"/>
    </row>
    <row r="102" spans="2:14" x14ac:dyDescent="0.25">
      <c r="B102" s="60"/>
      <c r="C102" s="55"/>
      <c r="D102" s="69"/>
      <c r="E102" s="248" t="str">
        <f>IF(AND(E96="Ja",SUM(E100:E101)&lt;&gt;100),"Het totaal is meer of minder dan 100%",IF(AND(OR(E96="Nee",E96=""),OR(E100&lt;&gt;"",E101&lt;&gt;"")),"Vraag 16 met Ja beantwoorden",""))</f>
        <v/>
      </c>
      <c r="F102" s="69"/>
      <c r="G102" s="69"/>
      <c r="H102" s="69"/>
      <c r="I102" s="69"/>
      <c r="J102" s="61"/>
      <c r="L102" s="584"/>
      <c r="M102" s="16"/>
      <c r="N102" s="37"/>
    </row>
    <row r="103" spans="2:14" x14ac:dyDescent="0.25">
      <c r="B103" s="60"/>
      <c r="C103" s="55" t="s">
        <v>89</v>
      </c>
      <c r="D103" s="69" t="s">
        <v>106</v>
      </c>
      <c r="E103" s="687"/>
      <c r="F103" s="421" t="str">
        <f>IF(E103&gt;0,E98/E103,"")</f>
        <v/>
      </c>
      <c r="G103" s="69" t="str">
        <f>IF(E103&gt;0,"m3 gemiddeld per bestek","")</f>
        <v/>
      </c>
      <c r="H103" s="69"/>
      <c r="I103" s="69"/>
      <c r="J103" s="61"/>
      <c r="L103" s="574"/>
      <c r="M103" s="16"/>
      <c r="N103" s="37"/>
    </row>
    <row r="104" spans="2:14" x14ac:dyDescent="0.25">
      <c r="B104" s="60"/>
      <c r="C104" s="55"/>
      <c r="D104" s="69" t="str">
        <f>IF(Q105=TRUE,"ga door naar vraag 16f","")</f>
        <v/>
      </c>
      <c r="E104" s="246"/>
      <c r="F104" s="69"/>
      <c r="G104" s="69"/>
      <c r="H104" s="69"/>
      <c r="I104" s="69"/>
      <c r="J104" s="61"/>
      <c r="L104" s="574"/>
      <c r="M104" s="16"/>
      <c r="N104" s="37"/>
    </row>
    <row r="105" spans="2:14" x14ac:dyDescent="0.25">
      <c r="B105" s="60"/>
      <c r="C105" s="55" t="s">
        <v>91</v>
      </c>
      <c r="D105" s="69" t="s">
        <v>107</v>
      </c>
      <c r="E105" s="685" t="s">
        <v>51</v>
      </c>
      <c r="F105" s="69"/>
      <c r="G105" s="248" t="str">
        <f>IF(E105="Nee","Ga door naar vraag 16f","")</f>
        <v/>
      </c>
      <c r="H105" s="69"/>
      <c r="I105" s="69"/>
      <c r="J105" s="61"/>
      <c r="L105" s="574"/>
      <c r="M105" s="16"/>
      <c r="N105" s="37"/>
    </row>
    <row r="106" spans="2:14" x14ac:dyDescent="0.25">
      <c r="B106" s="60"/>
      <c r="C106" s="55" t="s">
        <v>108</v>
      </c>
      <c r="D106" s="69" t="s">
        <v>109</v>
      </c>
      <c r="E106" s="683"/>
      <c r="F106" s="69" t="s">
        <v>104</v>
      </c>
      <c r="G106" s="69"/>
      <c r="H106" s="69"/>
      <c r="I106" s="69" t="str">
        <f>IF(AND(E105="Nee",E106&gt;0),"er is geen sprake van asbest",IF(AND(E105="Ja",E106&gt;100),"meer dan 100%"," "))</f>
        <v xml:space="preserve"> </v>
      </c>
      <c r="J106" s="61"/>
      <c r="L106" s="574"/>
      <c r="M106" s="16"/>
      <c r="N106" s="37"/>
    </row>
    <row r="107" spans="2:14" x14ac:dyDescent="0.25">
      <c r="B107" s="60"/>
      <c r="C107" s="55"/>
      <c r="D107" s="69"/>
      <c r="E107" s="69"/>
      <c r="F107" s="69"/>
      <c r="G107" s="69" t="str">
        <f>IF(AND(S105=1,S106&lt;=0),"percentage invullen ","")</f>
        <v/>
      </c>
      <c r="H107" s="69"/>
      <c r="I107" s="69"/>
      <c r="J107" s="61"/>
      <c r="L107" s="574"/>
      <c r="M107" s="16"/>
      <c r="N107" s="37"/>
    </row>
    <row r="108" spans="2:14" x14ac:dyDescent="0.25">
      <c r="B108" s="60"/>
      <c r="C108" s="55" t="s">
        <v>110</v>
      </c>
      <c r="D108" s="69" t="s">
        <v>111</v>
      </c>
      <c r="E108" s="246" t="s">
        <v>583</v>
      </c>
      <c r="F108" s="69"/>
      <c r="G108" s="69"/>
      <c r="H108" s="69"/>
      <c r="I108" s="69"/>
      <c r="J108" s="61"/>
      <c r="L108" s="574"/>
      <c r="M108" s="16"/>
      <c r="N108" s="37"/>
    </row>
    <row r="109" spans="2:14" x14ac:dyDescent="0.25">
      <c r="B109" s="60"/>
      <c r="C109" s="55"/>
      <c r="D109" s="246" t="s">
        <v>112</v>
      </c>
      <c r="E109" s="683"/>
      <c r="F109" s="69" t="s">
        <v>104</v>
      </c>
      <c r="G109" s="69"/>
      <c r="H109" s="69"/>
      <c r="I109" s="69"/>
      <c r="J109" s="61"/>
      <c r="L109" s="574"/>
      <c r="M109" s="16"/>
      <c r="N109" s="37"/>
    </row>
    <row r="110" spans="2:14" x14ac:dyDescent="0.25">
      <c r="B110" s="60"/>
      <c r="C110" s="55"/>
      <c r="D110" s="246" t="s">
        <v>113</v>
      </c>
      <c r="E110" s="683"/>
      <c r="F110" s="69" t="s">
        <v>104</v>
      </c>
      <c r="G110" s="69"/>
      <c r="H110" s="69"/>
      <c r="I110" s="69"/>
      <c r="J110" s="61"/>
      <c r="L110" s="574"/>
      <c r="M110" s="16"/>
      <c r="N110" s="37"/>
    </row>
    <row r="111" spans="2:14" x14ac:dyDescent="0.25">
      <c r="B111" s="60"/>
      <c r="C111" s="55"/>
      <c r="D111" s="246" t="s">
        <v>114</v>
      </c>
      <c r="E111" s="683"/>
      <c r="F111" s="69" t="s">
        <v>104</v>
      </c>
      <c r="G111" s="69"/>
      <c r="H111" s="69"/>
      <c r="I111" s="69"/>
      <c r="J111" s="61"/>
      <c r="L111" s="574"/>
      <c r="M111" s="16"/>
      <c r="N111" s="37"/>
    </row>
    <row r="112" spans="2:14" x14ac:dyDescent="0.25">
      <c r="B112" s="60"/>
      <c r="C112" s="55"/>
      <c r="D112" s="69"/>
      <c r="E112" s="248" t="str">
        <f>IF(AND(E96="Ja",SUM(E109:E111)&lt;&gt;100),"Het totaal is meer of minder dan 100%",IF(AND(OR(E96="Nee",E96=""),OR(E109&lt;&gt;"",E110&lt;&gt;"",E111&lt;&gt;"")),"Vraag 16 met Ja beantwoorden",""))</f>
        <v/>
      </c>
      <c r="F112" s="69"/>
      <c r="G112" s="69"/>
      <c r="H112" s="69"/>
      <c r="I112" s="69"/>
      <c r="J112" s="61"/>
      <c r="L112" s="574"/>
      <c r="M112" s="16"/>
      <c r="N112" s="37"/>
    </row>
    <row r="113" spans="2:14" x14ac:dyDescent="0.25">
      <c r="B113" s="60"/>
      <c r="C113" s="55"/>
      <c r="D113" s="98" t="s">
        <v>115</v>
      </c>
      <c r="E113" s="69"/>
      <c r="F113" s="69"/>
      <c r="G113" s="69"/>
      <c r="H113" s="69"/>
      <c r="I113" s="69"/>
      <c r="J113" s="61"/>
      <c r="L113" s="574"/>
      <c r="M113" s="16"/>
      <c r="N113" s="37"/>
    </row>
    <row r="114" spans="2:14" x14ac:dyDescent="0.25">
      <c r="B114" s="60"/>
      <c r="C114" s="55"/>
      <c r="D114" s="69" t="str">
        <f>IF(Q115=TRUE," ga door naar vraag 18"," ")</f>
        <v xml:space="preserve"> </v>
      </c>
      <c r="E114" s="69"/>
      <c r="F114" s="69"/>
      <c r="G114" s="69"/>
      <c r="H114" s="69"/>
      <c r="I114" s="69"/>
      <c r="J114" s="61"/>
      <c r="L114" s="577"/>
      <c r="M114" s="41"/>
      <c r="N114" s="42"/>
    </row>
    <row r="115" spans="2:14" x14ac:dyDescent="0.25">
      <c r="B115" s="60"/>
      <c r="C115" s="55">
        <v>17</v>
      </c>
      <c r="D115" s="69" t="s">
        <v>116</v>
      </c>
      <c r="E115" s="685" t="s">
        <v>51</v>
      </c>
      <c r="F115" s="69"/>
      <c r="G115" s="248" t="str">
        <f>IF(E115="Nee","Ga door naar vraag 18","")</f>
        <v/>
      </c>
      <c r="H115" s="69"/>
      <c r="I115" s="69"/>
      <c r="J115" s="61"/>
      <c r="K115" s="15">
        <f>+C115</f>
        <v>17</v>
      </c>
      <c r="L115" s="576" t="s">
        <v>43</v>
      </c>
      <c r="M115" s="39"/>
      <c r="N115" s="40"/>
    </row>
    <row r="116" spans="2:14" x14ac:dyDescent="0.25">
      <c r="B116" s="60"/>
      <c r="C116" s="55" t="str">
        <f>IF(E13='Drop Down '!B2,"a","")</f>
        <v>a</v>
      </c>
      <c r="D116" s="69" t="str">
        <f>IF(E13='Drop Down '!B2,"Wordt er integraal of partieel opgehoogd?","Deze vraag is niet van toepassing bij organische gebiedsontwikkeling")</f>
        <v>Wordt er integraal of partieel opgehoogd?</v>
      </c>
      <c r="E116" s="685" t="s">
        <v>51</v>
      </c>
      <c r="F116" s="69"/>
      <c r="G116" s="69"/>
      <c r="H116" s="248"/>
      <c r="I116" s="69"/>
      <c r="J116" s="61"/>
      <c r="L116" s="574"/>
      <c r="M116" s="16"/>
      <c r="N116" s="37"/>
    </row>
    <row r="117" spans="2:14" x14ac:dyDescent="0.25">
      <c r="B117" s="60"/>
      <c r="C117" s="55"/>
      <c r="D117" s="69"/>
      <c r="E117" s="69"/>
      <c r="F117" s="69"/>
      <c r="G117" s="69"/>
      <c r="H117" s="69"/>
      <c r="I117" s="69"/>
      <c r="J117" s="61"/>
      <c r="K117" s="59"/>
      <c r="L117" s="585"/>
      <c r="M117" s="53"/>
      <c r="N117" s="54"/>
    </row>
    <row r="118" spans="2:14" x14ac:dyDescent="0.25">
      <c r="B118" s="60"/>
      <c r="C118" s="55" t="s">
        <v>63</v>
      </c>
      <c r="D118" s="69" t="s">
        <v>117</v>
      </c>
      <c r="E118" s="687"/>
      <c r="F118" s="69" t="s">
        <v>118</v>
      </c>
      <c r="G118" s="69"/>
      <c r="H118" s="69"/>
      <c r="I118" s="69"/>
      <c r="J118" s="61"/>
      <c r="L118" s="574"/>
      <c r="M118" s="16"/>
      <c r="N118" s="37"/>
    </row>
    <row r="119" spans="2:14" x14ac:dyDescent="0.25">
      <c r="B119" s="60"/>
      <c r="C119" s="55" t="s">
        <v>89</v>
      </c>
      <c r="D119" s="69" t="s">
        <v>119</v>
      </c>
      <c r="E119" s="687"/>
      <c r="F119" s="69" t="s">
        <v>42</v>
      </c>
      <c r="G119" s="69"/>
      <c r="H119" s="69"/>
      <c r="I119" s="69"/>
      <c r="J119" s="61"/>
      <c r="L119" s="574"/>
      <c r="M119" s="16"/>
      <c r="N119" s="37"/>
    </row>
    <row r="120" spans="2:14" x14ac:dyDescent="0.25">
      <c r="B120" s="60"/>
      <c r="C120" s="55" t="s">
        <v>91</v>
      </c>
      <c r="D120" s="69" t="s">
        <v>120</v>
      </c>
      <c r="E120" s="687"/>
      <c r="F120" s="69" t="s">
        <v>121</v>
      </c>
      <c r="G120" s="69"/>
      <c r="H120" s="69"/>
      <c r="I120" s="69"/>
      <c r="J120" s="61"/>
      <c r="L120" s="574"/>
      <c r="M120" s="16"/>
      <c r="N120" s="37"/>
    </row>
    <row r="121" spans="2:14" x14ac:dyDescent="0.25">
      <c r="B121" s="60"/>
      <c r="C121" s="55"/>
      <c r="D121" s="69"/>
      <c r="E121" s="69"/>
      <c r="F121" s="69"/>
      <c r="G121" s="69"/>
      <c r="H121" s="69"/>
      <c r="I121" s="69"/>
      <c r="J121" s="61"/>
      <c r="L121" s="574"/>
      <c r="M121" s="16"/>
      <c r="N121" s="37"/>
    </row>
    <row r="122" spans="2:14" x14ac:dyDescent="0.25">
      <c r="B122" s="60"/>
      <c r="C122" s="55"/>
      <c r="D122" s="98" t="s">
        <v>122</v>
      </c>
      <c r="E122" s="69"/>
      <c r="F122" s="69"/>
      <c r="G122" s="69"/>
      <c r="H122" s="69"/>
      <c r="I122" s="69"/>
      <c r="J122" s="61"/>
      <c r="L122" s="574"/>
      <c r="M122" s="16"/>
      <c r="N122" s="37"/>
    </row>
    <row r="123" spans="2:14" x14ac:dyDescent="0.25">
      <c r="B123" s="60"/>
      <c r="C123" s="55"/>
      <c r="D123" s="69"/>
      <c r="E123" s="69"/>
      <c r="F123" s="69"/>
      <c r="G123" s="69"/>
      <c r="H123" s="69"/>
      <c r="I123" s="69"/>
      <c r="J123" s="61"/>
      <c r="L123" s="577"/>
      <c r="M123" s="41"/>
      <c r="N123" s="42"/>
    </row>
    <row r="124" spans="2:14" x14ac:dyDescent="0.25">
      <c r="B124" s="60"/>
      <c r="C124" s="55">
        <v>18</v>
      </c>
      <c r="D124" s="69" t="s">
        <v>123</v>
      </c>
      <c r="E124" s="685" t="s">
        <v>51</v>
      </c>
      <c r="F124" s="69"/>
      <c r="G124" s="69"/>
      <c r="H124" s="69"/>
      <c r="I124" s="69"/>
      <c r="J124" s="61"/>
      <c r="K124" s="15">
        <f>+C124</f>
        <v>18</v>
      </c>
      <c r="L124" s="576" t="s">
        <v>43</v>
      </c>
      <c r="M124" s="39"/>
      <c r="N124" s="40"/>
    </row>
    <row r="125" spans="2:14" x14ac:dyDescent="0.25">
      <c r="B125" s="60"/>
      <c r="C125" s="55"/>
      <c r="D125" s="69"/>
      <c r="E125" s="69"/>
      <c r="F125" s="69"/>
      <c r="G125" s="69"/>
      <c r="H125" s="69"/>
      <c r="I125" s="69"/>
      <c r="J125" s="61"/>
      <c r="L125" s="574"/>
      <c r="M125" s="16"/>
      <c r="N125" s="37"/>
    </row>
    <row r="126" spans="2:14" x14ac:dyDescent="0.25">
      <c r="B126" s="60"/>
      <c r="C126" s="55" t="s">
        <v>61</v>
      </c>
      <c r="D126" s="69" t="s">
        <v>124</v>
      </c>
      <c r="E126" s="246" t="s">
        <v>583</v>
      </c>
      <c r="F126" s="69"/>
      <c r="G126" s="69"/>
      <c r="H126" s="69"/>
      <c r="I126" s="69"/>
      <c r="J126" s="61"/>
      <c r="L126" s="574"/>
      <c r="M126" s="16"/>
      <c r="N126" s="37"/>
    </row>
    <row r="127" spans="2:14" x14ac:dyDescent="0.25">
      <c r="B127" s="60"/>
      <c r="C127" s="55"/>
      <c r="D127" s="246" t="s">
        <v>112</v>
      </c>
      <c r="E127" s="683"/>
      <c r="F127" s="69" t="s">
        <v>104</v>
      </c>
      <c r="G127" s="69"/>
      <c r="H127" s="69"/>
      <c r="I127" s="69"/>
      <c r="J127" s="61"/>
      <c r="L127" s="574"/>
      <c r="M127" s="16"/>
      <c r="N127" s="37"/>
    </row>
    <row r="128" spans="2:14" x14ac:dyDescent="0.25">
      <c r="B128" s="60"/>
      <c r="C128" s="55"/>
      <c r="D128" s="246" t="s">
        <v>113</v>
      </c>
      <c r="E128" s="683"/>
      <c r="F128" s="69" t="s">
        <v>104</v>
      </c>
      <c r="G128" s="69"/>
      <c r="H128" s="69"/>
      <c r="I128" s="69"/>
      <c r="J128" s="61"/>
      <c r="L128" s="574"/>
      <c r="M128" s="16"/>
      <c r="N128" s="37"/>
    </row>
    <row r="129" spans="2:14" x14ac:dyDescent="0.25">
      <c r="B129" s="60"/>
      <c r="C129" s="55"/>
      <c r="D129" s="246" t="s">
        <v>114</v>
      </c>
      <c r="E129" s="683"/>
      <c r="F129" s="69" t="s">
        <v>104</v>
      </c>
      <c r="G129" s="69"/>
      <c r="H129" s="69"/>
      <c r="I129" s="69"/>
      <c r="J129" s="61"/>
      <c r="L129" s="574"/>
      <c r="M129" s="16"/>
      <c r="N129" s="37"/>
    </row>
    <row r="130" spans="2:14" x14ac:dyDescent="0.25">
      <c r="B130" s="60"/>
      <c r="C130" s="55"/>
      <c r="D130" s="69"/>
      <c r="E130" s="69"/>
      <c r="F130" s="69"/>
      <c r="G130" s="248" t="str">
        <f>IF(AND(E124="Ja",SUM(E127:E129)&lt;&gt;100),"Het totaal is meer of minder dan 100%",IF(AND(OR(E124="Nee",E124=""),OR(E127&lt;&gt;"",E128&lt;&gt;"",E129&lt;&gt;"")),"Vraag 18 met Ja beantwoorden",""))</f>
        <v/>
      </c>
      <c r="H130" s="69"/>
      <c r="I130" s="69"/>
      <c r="J130" s="61"/>
      <c r="L130" s="574"/>
      <c r="M130" s="16"/>
      <c r="N130" s="37"/>
    </row>
    <row r="131" spans="2:14" x14ac:dyDescent="0.25">
      <c r="B131" s="60"/>
      <c r="C131" s="55" t="s">
        <v>63</v>
      </c>
      <c r="D131" s="69" t="s">
        <v>125</v>
      </c>
      <c r="E131" s="685" t="s">
        <v>51</v>
      </c>
      <c r="F131" s="69"/>
      <c r="G131" s="69"/>
      <c r="H131" s="69" t="str">
        <f>IF(AND(P131=TRUE,R132&gt;100),"fout"," ")</f>
        <v xml:space="preserve"> </v>
      </c>
      <c r="I131" s="69"/>
      <c r="J131" s="61"/>
      <c r="L131" s="574"/>
      <c r="M131" s="16"/>
      <c r="N131" s="37"/>
    </row>
    <row r="132" spans="2:14" x14ac:dyDescent="0.25">
      <c r="B132" s="60"/>
      <c r="C132" s="55" t="s">
        <v>89</v>
      </c>
      <c r="D132" s="69" t="str">
        <f>IF(E13="Met tijdvak","Zo ja, in hoeveel procent van het kostenverhaalsgebied is hier sprake van?","Zo ja, in hoeveel procent van het openbaar gebied is hier sprake van?")</f>
        <v>Zo ja, in hoeveel procent van het kostenverhaalsgebied is hier sprake van?</v>
      </c>
      <c r="E132" s="683"/>
      <c r="F132" s="69" t="s">
        <v>104</v>
      </c>
      <c r="G132" s="69"/>
      <c r="H132" s="69"/>
      <c r="I132" s="69"/>
      <c r="J132" s="61" t="str">
        <f>IF(AND(P131=FALSE,R132&gt;0),"zet vraag 18 b op ja","")</f>
        <v/>
      </c>
      <c r="L132" s="574"/>
      <c r="M132" s="16"/>
      <c r="N132" s="37"/>
    </row>
    <row r="133" spans="2:14" x14ac:dyDescent="0.25">
      <c r="B133" s="60"/>
      <c r="C133" s="55"/>
      <c r="D133" s="69"/>
      <c r="E133" s="69"/>
      <c r="F133" s="69"/>
      <c r="G133" s="248" t="str">
        <f>IF(AND(E131="Ja",E132=""),"Vul percentage in",IF(AND(OR(E131="Nee",E131=""),E132&lt;&gt;""),"Vraag 18 b met Ja beantwoorden",""))</f>
        <v/>
      </c>
      <c r="H133" s="69"/>
      <c r="I133" s="69"/>
      <c r="J133" s="61"/>
      <c r="L133" s="574"/>
      <c r="M133" s="16"/>
      <c r="N133" s="37"/>
    </row>
    <row r="134" spans="2:14" ht="12.6" thickBot="1" x14ac:dyDescent="0.3">
      <c r="B134" s="64"/>
      <c r="C134" s="65"/>
      <c r="D134" s="66"/>
      <c r="E134" s="66"/>
      <c r="F134" s="66"/>
      <c r="G134" s="66"/>
      <c r="H134" s="66"/>
      <c r="I134" s="66"/>
      <c r="J134" s="67"/>
      <c r="L134" s="577"/>
      <c r="M134" s="41"/>
      <c r="N134" s="42"/>
    </row>
    <row r="135" spans="2:14" x14ac:dyDescent="0.25">
      <c r="C135" s="15"/>
      <c r="D135" s="16"/>
      <c r="E135" s="17"/>
      <c r="F135" s="18"/>
      <c r="G135" s="19"/>
      <c r="H135" s="16"/>
      <c r="I135" s="16"/>
      <c r="L135" s="36"/>
      <c r="M135" s="16"/>
      <c r="N135" s="16"/>
    </row>
    <row r="136" spans="2:14" x14ac:dyDescent="0.25">
      <c r="C136" s="15"/>
      <c r="D136" s="21"/>
      <c r="E136" s="17"/>
      <c r="F136" s="18"/>
      <c r="G136" s="19"/>
      <c r="H136" s="16"/>
      <c r="I136" s="16"/>
    </row>
    <row r="137" spans="2:14" x14ac:dyDescent="0.25">
      <c r="C137" s="15"/>
      <c r="D137" s="13"/>
      <c r="E137" s="12"/>
      <c r="F137" s="18"/>
      <c r="G137" s="12"/>
      <c r="H137" s="12"/>
      <c r="I137" s="12"/>
    </row>
    <row r="138" spans="2:14" x14ac:dyDescent="0.25">
      <c r="C138" s="15"/>
    </row>
    <row r="139" spans="2:14" x14ac:dyDescent="0.25">
      <c r="C139" s="15"/>
    </row>
    <row r="140" spans="2:14" x14ac:dyDescent="0.25">
      <c r="C140" s="15"/>
    </row>
    <row r="141" spans="2:14" x14ac:dyDescent="0.25">
      <c r="C141" s="15"/>
    </row>
    <row r="142" spans="2:14" x14ac:dyDescent="0.25">
      <c r="C142" s="15"/>
    </row>
    <row r="143" spans="2:14" x14ac:dyDescent="0.25">
      <c r="C143" s="15"/>
    </row>
    <row r="144" spans="2:14" x14ac:dyDescent="0.25">
      <c r="C144" s="15"/>
    </row>
    <row r="145" spans="3:3" x14ac:dyDescent="0.25">
      <c r="C145" s="15"/>
    </row>
    <row r="146" spans="3:3" x14ac:dyDescent="0.25">
      <c r="C146" s="15"/>
    </row>
    <row r="147" spans="3:3" x14ac:dyDescent="0.25">
      <c r="C147" s="15"/>
    </row>
    <row r="148" spans="3:3" x14ac:dyDescent="0.25">
      <c r="C148" s="15"/>
    </row>
    <row r="149" spans="3:3" x14ac:dyDescent="0.25">
      <c r="C149" s="15"/>
    </row>
    <row r="150" spans="3:3" x14ac:dyDescent="0.25">
      <c r="C150" s="15"/>
    </row>
    <row r="151" spans="3:3" x14ac:dyDescent="0.25">
      <c r="C151" s="15"/>
    </row>
    <row r="152" spans="3:3" x14ac:dyDescent="0.25">
      <c r="C152" s="15"/>
    </row>
    <row r="153" spans="3:3" x14ac:dyDescent="0.25">
      <c r="C153" s="15"/>
    </row>
    <row r="154" spans="3:3" x14ac:dyDescent="0.25">
      <c r="C154" s="15"/>
    </row>
    <row r="155" spans="3:3" x14ac:dyDescent="0.25">
      <c r="C155" s="15"/>
    </row>
    <row r="156" spans="3:3" x14ac:dyDescent="0.25">
      <c r="C156" s="15"/>
    </row>
    <row r="157" spans="3:3" x14ac:dyDescent="0.25">
      <c r="C157" s="15"/>
    </row>
    <row r="158" spans="3:3" x14ac:dyDescent="0.25">
      <c r="C158" s="15"/>
    </row>
    <row r="159" spans="3:3" x14ac:dyDescent="0.25">
      <c r="C159" s="15"/>
    </row>
    <row r="160" spans="3:3" x14ac:dyDescent="0.25">
      <c r="C160" s="15"/>
    </row>
    <row r="161" spans="3:3" x14ac:dyDescent="0.25">
      <c r="C161" s="15"/>
    </row>
    <row r="162" spans="3:3" x14ac:dyDescent="0.25">
      <c r="C162" s="15"/>
    </row>
    <row r="163" spans="3:3" x14ac:dyDescent="0.25">
      <c r="C163" s="15"/>
    </row>
    <row r="164" spans="3:3" x14ac:dyDescent="0.25">
      <c r="C164" s="15"/>
    </row>
    <row r="165" spans="3:3" x14ac:dyDescent="0.25">
      <c r="C165" s="15"/>
    </row>
    <row r="166" spans="3:3" x14ac:dyDescent="0.25">
      <c r="C166" s="15"/>
    </row>
    <row r="167" spans="3:3" x14ac:dyDescent="0.25">
      <c r="C167" s="15"/>
    </row>
    <row r="168" spans="3:3" x14ac:dyDescent="0.25">
      <c r="C168" s="15"/>
    </row>
    <row r="169" spans="3:3" x14ac:dyDescent="0.25">
      <c r="C169" s="15"/>
    </row>
    <row r="170" spans="3:3" x14ac:dyDescent="0.25">
      <c r="C170" s="15"/>
    </row>
    <row r="171" spans="3:3" x14ac:dyDescent="0.25">
      <c r="C171" s="15"/>
    </row>
    <row r="172" spans="3:3" x14ac:dyDescent="0.25">
      <c r="C172" s="15"/>
    </row>
    <row r="173" spans="3:3" x14ac:dyDescent="0.25">
      <c r="C173" s="15"/>
    </row>
    <row r="174" spans="3:3" x14ac:dyDescent="0.25">
      <c r="C174" s="15"/>
    </row>
    <row r="175" spans="3:3" x14ac:dyDescent="0.25">
      <c r="C175" s="15"/>
    </row>
    <row r="176" spans="3:3" x14ac:dyDescent="0.25">
      <c r="C176" s="15"/>
    </row>
    <row r="177" spans="3:3" x14ac:dyDescent="0.25">
      <c r="C177" s="15"/>
    </row>
    <row r="178" spans="3:3" x14ac:dyDescent="0.25">
      <c r="C178" s="15"/>
    </row>
    <row r="179" spans="3:3" x14ac:dyDescent="0.25">
      <c r="C179" s="15"/>
    </row>
    <row r="180" spans="3:3" x14ac:dyDescent="0.25">
      <c r="C180" s="15"/>
    </row>
    <row r="181" spans="3:3" x14ac:dyDescent="0.25">
      <c r="C181" s="15"/>
    </row>
    <row r="182" spans="3:3" x14ac:dyDescent="0.25">
      <c r="C182" s="15"/>
    </row>
    <row r="183" spans="3:3" x14ac:dyDescent="0.25">
      <c r="C183" s="15"/>
    </row>
    <row r="184" spans="3:3" x14ac:dyDescent="0.25">
      <c r="C184" s="15"/>
    </row>
    <row r="185" spans="3:3" x14ac:dyDescent="0.25">
      <c r="C185" s="15"/>
    </row>
    <row r="186" spans="3:3" x14ac:dyDescent="0.25">
      <c r="C186" s="15"/>
    </row>
    <row r="187" spans="3:3" x14ac:dyDescent="0.25">
      <c r="C187" s="15"/>
    </row>
    <row r="188" spans="3:3" x14ac:dyDescent="0.25">
      <c r="C188" s="15"/>
    </row>
    <row r="189" spans="3:3" x14ac:dyDescent="0.25">
      <c r="C189" s="15"/>
    </row>
    <row r="190" spans="3:3" x14ac:dyDescent="0.25">
      <c r="C190" s="15"/>
    </row>
    <row r="191" spans="3:3" x14ac:dyDescent="0.25">
      <c r="C191" s="15"/>
    </row>
    <row r="192" spans="3:3" x14ac:dyDescent="0.25">
      <c r="C192" s="15"/>
    </row>
    <row r="193" spans="3:3" x14ac:dyDescent="0.25">
      <c r="C193" s="15"/>
    </row>
    <row r="194" spans="3:3" x14ac:dyDescent="0.25">
      <c r="C194" s="15"/>
    </row>
    <row r="195" spans="3:3" x14ac:dyDescent="0.25">
      <c r="C195" s="15"/>
    </row>
    <row r="196" spans="3:3" x14ac:dyDescent="0.25">
      <c r="C196" s="15"/>
    </row>
    <row r="197" spans="3:3" x14ac:dyDescent="0.25">
      <c r="C197" s="15"/>
    </row>
    <row r="198" spans="3:3" x14ac:dyDescent="0.25">
      <c r="C198" s="15"/>
    </row>
    <row r="199" spans="3:3" x14ac:dyDescent="0.25">
      <c r="C199" s="15"/>
    </row>
    <row r="200" spans="3:3" x14ac:dyDescent="0.25">
      <c r="C200" s="15"/>
    </row>
    <row r="201" spans="3:3" x14ac:dyDescent="0.25">
      <c r="C201" s="15"/>
    </row>
    <row r="202" spans="3:3" x14ac:dyDescent="0.25">
      <c r="C202" s="15"/>
    </row>
    <row r="203" spans="3:3" x14ac:dyDescent="0.25">
      <c r="C203" s="15"/>
    </row>
    <row r="204" spans="3:3" x14ac:dyDescent="0.25">
      <c r="C204" s="15"/>
    </row>
    <row r="205" spans="3:3" x14ac:dyDescent="0.25">
      <c r="C205" s="15"/>
    </row>
    <row r="206" spans="3:3" x14ac:dyDescent="0.25">
      <c r="C206" s="15"/>
    </row>
    <row r="207" spans="3:3" x14ac:dyDescent="0.25">
      <c r="C207" s="15"/>
    </row>
    <row r="208" spans="3:3" x14ac:dyDescent="0.25">
      <c r="C208" s="15"/>
    </row>
    <row r="209" spans="3:3" x14ac:dyDescent="0.25">
      <c r="C209" s="15"/>
    </row>
    <row r="210" spans="3:3" x14ac:dyDescent="0.25">
      <c r="C210" s="15"/>
    </row>
    <row r="211" spans="3:3" x14ac:dyDescent="0.25">
      <c r="C211" s="15"/>
    </row>
    <row r="212" spans="3:3" x14ac:dyDescent="0.25">
      <c r="C212" s="15"/>
    </row>
    <row r="213" spans="3:3" x14ac:dyDescent="0.25">
      <c r="C213" s="15"/>
    </row>
    <row r="214" spans="3:3" x14ac:dyDescent="0.25">
      <c r="C214" s="15"/>
    </row>
    <row r="215" spans="3:3" x14ac:dyDescent="0.25">
      <c r="C215" s="15"/>
    </row>
    <row r="216" spans="3:3" x14ac:dyDescent="0.25">
      <c r="C216" s="15"/>
    </row>
    <row r="217" spans="3:3" x14ac:dyDescent="0.25">
      <c r="C217" s="15"/>
    </row>
    <row r="218" spans="3:3" x14ac:dyDescent="0.25">
      <c r="C218" s="15"/>
    </row>
    <row r="219" spans="3:3" x14ac:dyDescent="0.25">
      <c r="C219" s="15"/>
    </row>
    <row r="220" spans="3:3" x14ac:dyDescent="0.25">
      <c r="C220" s="15"/>
    </row>
    <row r="221" spans="3:3" x14ac:dyDescent="0.25">
      <c r="C221" s="15"/>
    </row>
    <row r="222" spans="3:3" x14ac:dyDescent="0.25">
      <c r="C222" s="15"/>
    </row>
    <row r="223" spans="3:3" x14ac:dyDescent="0.25">
      <c r="C223" s="15"/>
    </row>
    <row r="224" spans="3:3" x14ac:dyDescent="0.25">
      <c r="C224" s="15"/>
    </row>
    <row r="225" spans="3:3" x14ac:dyDescent="0.25">
      <c r="C225" s="15"/>
    </row>
    <row r="226" spans="3:3" x14ac:dyDescent="0.25">
      <c r="C226" s="15"/>
    </row>
    <row r="227" spans="3:3" x14ac:dyDescent="0.25">
      <c r="C227" s="15"/>
    </row>
    <row r="228" spans="3:3" x14ac:dyDescent="0.25">
      <c r="C228" s="15"/>
    </row>
    <row r="229" spans="3:3" x14ac:dyDescent="0.25">
      <c r="C229" s="15"/>
    </row>
    <row r="230" spans="3:3" x14ac:dyDescent="0.25">
      <c r="C230" s="15"/>
    </row>
    <row r="231" spans="3:3" x14ac:dyDescent="0.25">
      <c r="C231" s="15"/>
    </row>
    <row r="232" spans="3:3" x14ac:dyDescent="0.25">
      <c r="C232" s="15"/>
    </row>
    <row r="233" spans="3:3" x14ac:dyDescent="0.25">
      <c r="C233" s="15"/>
    </row>
    <row r="234" spans="3:3" x14ac:dyDescent="0.25">
      <c r="C234" s="15"/>
    </row>
    <row r="235" spans="3:3" x14ac:dyDescent="0.25">
      <c r="C235" s="15"/>
    </row>
    <row r="236" spans="3:3" x14ac:dyDescent="0.25">
      <c r="C236" s="15"/>
    </row>
    <row r="237" spans="3:3" x14ac:dyDescent="0.25">
      <c r="C237" s="15"/>
    </row>
    <row r="238" spans="3:3" x14ac:dyDescent="0.25">
      <c r="C238" s="15"/>
    </row>
    <row r="239" spans="3:3" x14ac:dyDescent="0.25">
      <c r="C239" s="15"/>
    </row>
    <row r="240" spans="3:3" x14ac:dyDescent="0.25">
      <c r="C240" s="15"/>
    </row>
    <row r="241" spans="3:3" x14ac:dyDescent="0.25">
      <c r="C241" s="15"/>
    </row>
    <row r="242" spans="3:3" x14ac:dyDescent="0.25">
      <c r="C242" s="15"/>
    </row>
    <row r="243" spans="3:3" x14ac:dyDescent="0.25">
      <c r="C243" s="15"/>
    </row>
    <row r="244" spans="3:3" x14ac:dyDescent="0.25">
      <c r="C244" s="15"/>
    </row>
    <row r="245" spans="3:3" x14ac:dyDescent="0.25">
      <c r="C245" s="15"/>
    </row>
    <row r="246" spans="3:3" x14ac:dyDescent="0.25">
      <c r="C246" s="15"/>
    </row>
    <row r="247" spans="3:3" x14ac:dyDescent="0.25">
      <c r="C247" s="15"/>
    </row>
    <row r="248" spans="3:3" x14ac:dyDescent="0.25">
      <c r="C248" s="15"/>
    </row>
    <row r="249" spans="3:3" x14ac:dyDescent="0.25">
      <c r="C249" s="15"/>
    </row>
    <row r="250" spans="3:3" x14ac:dyDescent="0.25">
      <c r="C250" s="15"/>
    </row>
    <row r="251" spans="3:3" x14ac:dyDescent="0.25">
      <c r="C251" s="15"/>
    </row>
    <row r="252" spans="3:3" x14ac:dyDescent="0.25">
      <c r="C252" s="15"/>
    </row>
    <row r="253" spans="3:3" x14ac:dyDescent="0.25">
      <c r="C253" s="15"/>
    </row>
    <row r="254" spans="3:3" x14ac:dyDescent="0.25">
      <c r="C254" s="15"/>
    </row>
    <row r="255" spans="3:3" x14ac:dyDescent="0.25">
      <c r="C255" s="15"/>
    </row>
    <row r="256" spans="3:3" x14ac:dyDescent="0.25">
      <c r="C256" s="15"/>
    </row>
    <row r="257" spans="3:3" x14ac:dyDescent="0.25">
      <c r="C257" s="15"/>
    </row>
    <row r="258" spans="3:3" x14ac:dyDescent="0.25">
      <c r="C258" s="15"/>
    </row>
    <row r="259" spans="3:3" x14ac:dyDescent="0.25">
      <c r="C259" s="15"/>
    </row>
    <row r="260" spans="3:3" x14ac:dyDescent="0.25">
      <c r="C260" s="15"/>
    </row>
    <row r="261" spans="3:3" x14ac:dyDescent="0.25">
      <c r="C261" s="15"/>
    </row>
    <row r="262" spans="3:3" x14ac:dyDescent="0.25">
      <c r="C262" s="15"/>
    </row>
    <row r="263" spans="3:3" x14ac:dyDescent="0.25">
      <c r="C263" s="15"/>
    </row>
    <row r="264" spans="3:3" x14ac:dyDescent="0.25">
      <c r="C264" s="15"/>
    </row>
    <row r="265" spans="3:3" x14ac:dyDescent="0.25">
      <c r="C265" s="15"/>
    </row>
    <row r="266" spans="3:3" x14ac:dyDescent="0.25">
      <c r="C266" s="15"/>
    </row>
    <row r="267" spans="3:3" x14ac:dyDescent="0.25">
      <c r="C267" s="15"/>
    </row>
    <row r="268" spans="3:3" x14ac:dyDescent="0.25">
      <c r="C268" s="15"/>
    </row>
    <row r="269" spans="3:3" x14ac:dyDescent="0.25">
      <c r="C269" s="15"/>
    </row>
    <row r="270" spans="3:3" x14ac:dyDescent="0.25">
      <c r="C270" s="15"/>
    </row>
    <row r="271" spans="3:3" x14ac:dyDescent="0.25">
      <c r="C271" s="15"/>
    </row>
    <row r="272" spans="3:3" x14ac:dyDescent="0.25">
      <c r="C272" s="15"/>
    </row>
    <row r="273" spans="3:3" x14ac:dyDescent="0.25">
      <c r="C273" s="15"/>
    </row>
    <row r="274" spans="3:3" x14ac:dyDescent="0.25">
      <c r="C274" s="15"/>
    </row>
    <row r="275" spans="3:3" x14ac:dyDescent="0.25">
      <c r="C275" s="15"/>
    </row>
    <row r="276" spans="3:3" x14ac:dyDescent="0.25">
      <c r="C276" s="15"/>
    </row>
    <row r="277" spans="3:3" x14ac:dyDescent="0.25">
      <c r="C277" s="15"/>
    </row>
    <row r="278" spans="3:3" x14ac:dyDescent="0.25">
      <c r="C278" s="15"/>
    </row>
    <row r="279" spans="3:3" x14ac:dyDescent="0.25">
      <c r="C279" s="15"/>
    </row>
    <row r="280" spans="3:3" x14ac:dyDescent="0.25">
      <c r="C280" s="15"/>
    </row>
    <row r="281" spans="3:3" x14ac:dyDescent="0.25">
      <c r="C281" s="15"/>
    </row>
    <row r="282" spans="3:3" x14ac:dyDescent="0.25">
      <c r="C282" s="15"/>
    </row>
    <row r="283" spans="3:3" x14ac:dyDescent="0.25">
      <c r="C283" s="15"/>
    </row>
    <row r="284" spans="3:3" x14ac:dyDescent="0.25">
      <c r="C284" s="15"/>
    </row>
    <row r="285" spans="3:3" x14ac:dyDescent="0.25">
      <c r="C285" s="15"/>
    </row>
    <row r="286" spans="3:3" x14ac:dyDescent="0.25">
      <c r="C286" s="15"/>
    </row>
    <row r="287" spans="3:3" x14ac:dyDescent="0.25">
      <c r="C287" s="15"/>
    </row>
    <row r="288" spans="3:3" x14ac:dyDescent="0.25">
      <c r="C288" s="15"/>
    </row>
    <row r="289" spans="3:3" x14ac:dyDescent="0.25">
      <c r="C289" s="15"/>
    </row>
    <row r="290" spans="3:3" x14ac:dyDescent="0.25">
      <c r="C290" s="15"/>
    </row>
    <row r="291" spans="3:3" x14ac:dyDescent="0.25">
      <c r="C291" s="15"/>
    </row>
    <row r="292" spans="3:3" x14ac:dyDescent="0.25">
      <c r="C292" s="15"/>
    </row>
    <row r="293" spans="3:3" x14ac:dyDescent="0.25">
      <c r="C293" s="15"/>
    </row>
    <row r="294" spans="3:3" x14ac:dyDescent="0.25">
      <c r="C294" s="15"/>
    </row>
    <row r="295" spans="3:3" x14ac:dyDescent="0.25">
      <c r="C295" s="15"/>
    </row>
    <row r="296" spans="3:3" x14ac:dyDescent="0.25">
      <c r="C296" s="15"/>
    </row>
    <row r="297" spans="3:3" x14ac:dyDescent="0.25">
      <c r="C297" s="15"/>
    </row>
    <row r="298" spans="3:3" x14ac:dyDescent="0.25">
      <c r="C298" s="15"/>
    </row>
    <row r="299" spans="3:3" x14ac:dyDescent="0.25">
      <c r="C299" s="15"/>
    </row>
    <row r="300" spans="3:3" x14ac:dyDescent="0.25">
      <c r="C300" s="15"/>
    </row>
    <row r="301" spans="3:3" x14ac:dyDescent="0.25">
      <c r="C301" s="15"/>
    </row>
    <row r="302" spans="3:3" x14ac:dyDescent="0.25">
      <c r="C302" s="15"/>
    </row>
    <row r="303" spans="3:3" x14ac:dyDescent="0.25">
      <c r="C303" s="15"/>
    </row>
    <row r="304" spans="3:3" x14ac:dyDescent="0.25">
      <c r="C304" s="15"/>
    </row>
    <row r="305" spans="3:3" x14ac:dyDescent="0.25">
      <c r="C305" s="15"/>
    </row>
    <row r="306" spans="3:3" x14ac:dyDescent="0.25">
      <c r="C306" s="15"/>
    </row>
    <row r="307" spans="3:3" x14ac:dyDescent="0.25">
      <c r="C307" s="15"/>
    </row>
    <row r="308" spans="3:3" x14ac:dyDescent="0.25">
      <c r="C308" s="15"/>
    </row>
    <row r="309" spans="3:3" x14ac:dyDescent="0.25">
      <c r="C309" s="15"/>
    </row>
    <row r="310" spans="3:3" x14ac:dyDescent="0.25">
      <c r="C310" s="15"/>
    </row>
    <row r="311" spans="3:3" x14ac:dyDescent="0.25">
      <c r="C311" s="15"/>
    </row>
    <row r="312" spans="3:3" x14ac:dyDescent="0.25">
      <c r="C312" s="15"/>
    </row>
    <row r="313" spans="3:3" x14ac:dyDescent="0.25">
      <c r="C313" s="15"/>
    </row>
    <row r="314" spans="3:3" x14ac:dyDescent="0.25">
      <c r="C314" s="15"/>
    </row>
    <row r="315" spans="3:3" x14ac:dyDescent="0.25">
      <c r="C315" s="15"/>
    </row>
    <row r="316" spans="3:3" x14ac:dyDescent="0.25">
      <c r="C316" s="15"/>
    </row>
    <row r="317" spans="3:3" x14ac:dyDescent="0.25">
      <c r="C317" s="15"/>
    </row>
    <row r="318" spans="3:3" x14ac:dyDescent="0.25">
      <c r="C318" s="15"/>
    </row>
    <row r="319" spans="3:3" x14ac:dyDescent="0.25">
      <c r="C319" s="15"/>
    </row>
    <row r="320" spans="3:3" x14ac:dyDescent="0.25">
      <c r="C320" s="15"/>
    </row>
    <row r="321" spans="3:3" x14ac:dyDescent="0.25">
      <c r="C321" s="15"/>
    </row>
    <row r="322" spans="3:3" x14ac:dyDescent="0.25">
      <c r="C322" s="15"/>
    </row>
    <row r="323" spans="3:3" x14ac:dyDescent="0.25">
      <c r="C323" s="15"/>
    </row>
    <row r="324" spans="3:3" x14ac:dyDescent="0.25">
      <c r="C324" s="15"/>
    </row>
    <row r="325" spans="3:3" x14ac:dyDescent="0.25">
      <c r="C325" s="15"/>
    </row>
    <row r="326" spans="3:3" x14ac:dyDescent="0.25">
      <c r="C326" s="15"/>
    </row>
    <row r="327" spans="3:3" x14ac:dyDescent="0.25">
      <c r="C327" s="15"/>
    </row>
    <row r="328" spans="3:3" x14ac:dyDescent="0.25">
      <c r="C328" s="15"/>
    </row>
    <row r="329" spans="3:3" x14ac:dyDescent="0.25">
      <c r="C329" s="15"/>
    </row>
    <row r="330" spans="3:3" x14ac:dyDescent="0.25">
      <c r="C330" s="15"/>
    </row>
    <row r="331" spans="3:3" x14ac:dyDescent="0.25">
      <c r="C331" s="15"/>
    </row>
    <row r="332" spans="3:3" x14ac:dyDescent="0.25">
      <c r="C332" s="15"/>
    </row>
    <row r="333" spans="3:3" x14ac:dyDescent="0.25">
      <c r="C333" s="15"/>
    </row>
    <row r="334" spans="3:3" x14ac:dyDescent="0.25">
      <c r="C334" s="15"/>
    </row>
    <row r="335" spans="3:3" x14ac:dyDescent="0.25">
      <c r="C335" s="15"/>
    </row>
    <row r="336" spans="3:3" x14ac:dyDescent="0.25">
      <c r="C336" s="15"/>
    </row>
    <row r="337" spans="3:3" x14ac:dyDescent="0.25">
      <c r="C337" s="15"/>
    </row>
    <row r="338" spans="3:3" x14ac:dyDescent="0.25">
      <c r="C338" s="15"/>
    </row>
    <row r="339" spans="3:3" x14ac:dyDescent="0.25">
      <c r="C339" s="15"/>
    </row>
    <row r="340" spans="3:3" x14ac:dyDescent="0.25">
      <c r="C340" s="15"/>
    </row>
    <row r="341" spans="3:3" x14ac:dyDescent="0.25">
      <c r="C341" s="15"/>
    </row>
    <row r="342" spans="3:3" x14ac:dyDescent="0.25">
      <c r="C342" s="15"/>
    </row>
    <row r="343" spans="3:3" x14ac:dyDescent="0.25">
      <c r="C343" s="15"/>
    </row>
  </sheetData>
  <sheetProtection algorithmName="SHA-512" hashValue="Y5F3G/4oDb9Txdi89DSE/Wr4krmJu7t36Ivw3mnPW8xwZMUpD6DEaNG6w4Ad8ciS1UBaZNQ544Ls6+YMkBzABA==" saltValue="gf36RJNovXpqrc5A7HsiLQ==" spinCount="100000" sheet="1" objects="1" scenarios="1"/>
  <protectedRanges>
    <protectedRange sqref="E124 E131:E132 E127:E129 E118:E120 E115:E116 E109:E111 E105:E106 E103 E100:E101 E98 E96 E89 E85:E86 E82 E76:E79 E72:E73 G72:G73 E66:E67 E61 E55:E57 E51:E53 E45:E46 E37:E40" name="Bereik1"/>
  </protectedRanges>
  <mergeCells count="5">
    <mergeCell ref="D44:D45"/>
    <mergeCell ref="G27:I32"/>
    <mergeCell ref="E34:G34"/>
    <mergeCell ref="G61:I63"/>
    <mergeCell ref="G13:I14"/>
  </mergeCells>
  <conditionalFormatting sqref="E67">
    <cfRule type="expression" dxfId="14" priority="24">
      <formula>$E$66="Nee"</formula>
    </cfRule>
  </conditionalFormatting>
  <conditionalFormatting sqref="E98">
    <cfRule type="expression" dxfId="13" priority="23">
      <formula>$E$96="Nee"</formula>
    </cfRule>
  </conditionalFormatting>
  <conditionalFormatting sqref="E100:E101">
    <cfRule type="expression" dxfId="12" priority="22">
      <formula>$E$96="Nee"</formula>
    </cfRule>
  </conditionalFormatting>
  <conditionalFormatting sqref="E103">
    <cfRule type="expression" dxfId="11" priority="7">
      <formula>$E$96="Nee"</formula>
    </cfRule>
  </conditionalFormatting>
  <conditionalFormatting sqref="E105">
    <cfRule type="expression" dxfId="10" priority="19">
      <formula>$E$96="Nee"</formula>
    </cfRule>
  </conditionalFormatting>
  <conditionalFormatting sqref="E105:E106">
    <cfRule type="expression" dxfId="9" priority="18">
      <formula>$E$96="Nee"</formula>
    </cfRule>
  </conditionalFormatting>
  <conditionalFormatting sqref="E106">
    <cfRule type="expression" dxfId="8" priority="1">
      <formula>$E$105="Nee"</formula>
    </cfRule>
  </conditionalFormatting>
  <conditionalFormatting sqref="E109:E111">
    <cfRule type="expression" dxfId="7" priority="3">
      <formula>$E$96="Nee"</formula>
    </cfRule>
  </conditionalFormatting>
  <conditionalFormatting sqref="E116">
    <cfRule type="expression" dxfId="6" priority="15">
      <formula>$E$115="Nee"</formula>
    </cfRule>
    <cfRule type="expression" dxfId="5" priority="16">
      <formula>$E$115="Nee"</formula>
    </cfRule>
  </conditionalFormatting>
  <conditionalFormatting sqref="E118:E120">
    <cfRule type="expression" dxfId="4" priority="13">
      <formula>$E$115="Nee"</formula>
    </cfRule>
  </conditionalFormatting>
  <conditionalFormatting sqref="E127:E129">
    <cfRule type="expression" dxfId="3" priority="12">
      <formula>$E$124="Nee"</formula>
    </cfRule>
  </conditionalFormatting>
  <conditionalFormatting sqref="E131">
    <cfRule type="expression" dxfId="2" priority="10">
      <formula>$E$124="Nee"</formula>
    </cfRule>
  </conditionalFormatting>
  <conditionalFormatting sqref="E131:E132">
    <cfRule type="expression" dxfId="1" priority="9">
      <formula>$E$124="Nee"</formula>
    </cfRule>
  </conditionalFormatting>
  <conditionalFormatting sqref="E132">
    <cfRule type="expression" dxfId="0" priority="2">
      <formula>$E$131="Nee"</formula>
    </cfRule>
  </conditionalFormatting>
  <dataValidations count="2">
    <dataValidation type="custom" showDropDown="1" showInputMessage="1" showErrorMessage="1" sqref="E37" xr:uid="{BF49E619-0736-4F2F-A867-8E5817503A89}">
      <formula1>E37&gt;0</formula1>
    </dataValidation>
    <dataValidation type="custom" allowBlank="1" showInputMessage="1" showErrorMessage="1" sqref="E38 E39 E40" xr:uid="{B73EA4B3-B951-45C3-B578-D975E1470081}">
      <formula1>E38&gt;0</formula1>
    </dataValidation>
  </dataValidations>
  <pageMargins left="0.7" right="0.7" top="0.75" bottom="0.75" header="0.3" footer="0.3"/>
  <pageSetup paperSize="9" orientation="portrait" r:id="rId1"/>
  <ignoredErrors>
    <ignoredError sqref="K21 K63:K124 K24:K39 K41:K61" unlockedFormula="1"/>
  </ignoredErrors>
  <drawing r:id="rId2"/>
  <extLst>
    <ext xmlns:x14="http://schemas.microsoft.com/office/spreadsheetml/2009/9/main" uri="{CCE6A557-97BC-4b89-ADB6-D9C93CAAB3DF}">
      <x14:dataValidations xmlns:xm="http://schemas.microsoft.com/office/excel/2006/main" count="6">
        <x14:dataValidation type="list" allowBlank="1" showInputMessage="1" showErrorMessage="1" xr:uid="{0244E114-64FA-4E50-859A-FD9DC5F94E36}">
          <x14:formula1>
            <xm:f>'Drop Down '!$B$5:$B$10</xm:f>
          </x14:formula1>
          <xm:sqref>E27</xm:sqref>
        </x14:dataValidation>
        <x14:dataValidation type="list" allowBlank="1" showInputMessage="1" showErrorMessage="1" xr:uid="{223B5F05-8D9C-4223-B896-C179DD57CB76}">
          <x14:formula1>
            <xm:f>'Drop Down '!$B$12:$B$14</xm:f>
          </x14:formula1>
          <xm:sqref>E105 E96 E89 E66 E55:E57 E115 E124 E131 E51:E53</xm:sqref>
        </x14:dataValidation>
        <x14:dataValidation type="list" allowBlank="1" showInputMessage="1" showErrorMessage="1" xr:uid="{9DE02E1A-9085-4883-9A21-96AE98233598}">
          <x14:formula1>
            <xm:f>'Drop Down '!$B$17:$B$19</xm:f>
          </x14:formula1>
          <xm:sqref>E116</xm:sqref>
        </x14:dataValidation>
        <x14:dataValidation type="list" allowBlank="1" showInputMessage="1" showErrorMessage="1" xr:uid="{5DE1F489-0251-4C0B-BAA9-C0D24EDCD77E}">
          <x14:formula1>
            <xm:f>'Drop Down '!$B$22:$B$25</xm:f>
          </x14:formula1>
          <xm:sqref>E61</xm:sqref>
        </x14:dataValidation>
        <x14:dataValidation type="list" allowBlank="1" showInputMessage="1" showErrorMessage="1" xr:uid="{EB066774-779B-4795-8EDB-9E1B83166A8E}">
          <x14:formula1>
            <xm:f>'Drop Down '!$B$27:$B$32</xm:f>
          </x14:formula1>
          <xm:sqref>E34</xm:sqref>
        </x14:dataValidation>
        <x14:dataValidation type="list" allowBlank="1" showInputMessage="1" showErrorMessage="1" xr:uid="{35F4EFF2-0C22-4EFC-897C-2FB85388B275}">
          <x14:formula1>
            <xm:f>'Drop Down '!$B$2:$B$3</xm:f>
          </x14:formula1>
          <xm:sqref>E13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43CF7C-6E19-41D4-8F66-DB632453AC6C}">
  <dimension ref="A1:HC959"/>
  <sheetViews>
    <sheetView showGridLines="0" zoomScale="93" zoomScaleNormal="100" workbookViewId="0">
      <selection activeCell="C17" sqref="C17:E17"/>
    </sheetView>
  </sheetViews>
  <sheetFormatPr defaultColWidth="9.21875" defaultRowHeight="13.8" x14ac:dyDescent="0.25"/>
  <cols>
    <col min="1" max="1" width="2.21875" style="115" customWidth="1"/>
    <col min="2" max="2" width="3.77734375" style="202" bestFit="1" customWidth="1"/>
    <col min="3" max="3" width="27.77734375" style="123" customWidth="1"/>
    <col min="4" max="4" width="5.21875" style="123" bestFit="1" customWidth="1"/>
    <col min="5" max="5" width="73" style="123" customWidth="1"/>
    <col min="6" max="6" width="2" style="115" customWidth="1"/>
    <col min="7" max="7" width="24.77734375" style="118" customWidth="1"/>
    <col min="8" max="8" width="8.21875" style="114" bestFit="1" customWidth="1"/>
    <col min="9" max="9" width="15.5546875" style="205" bestFit="1" customWidth="1"/>
    <col min="10" max="10" width="7.5546875" style="230" bestFit="1" customWidth="1"/>
    <col min="11" max="11" width="12.5546875" style="206" bestFit="1" customWidth="1"/>
    <col min="12" max="12" width="2.21875" style="206" customWidth="1"/>
    <col min="13" max="13" width="16.44140625" style="207" bestFit="1" customWidth="1"/>
    <col min="14" max="14" width="16.77734375" style="218" customWidth="1"/>
    <col min="15" max="15" width="13.77734375" style="123" bestFit="1" customWidth="1"/>
    <col min="16" max="16" width="10.5546875" style="206" customWidth="1"/>
    <col min="17" max="17" width="2.21875" style="122" customWidth="1"/>
    <col min="18" max="18" width="14.21875" style="122" bestFit="1" customWidth="1"/>
    <col min="19" max="19" width="3.21875" style="122" bestFit="1" customWidth="1"/>
    <col min="20" max="20" width="8.44140625" style="122" customWidth="1"/>
    <col min="21" max="21" width="2" style="122" customWidth="1"/>
    <col min="22" max="22" width="9.21875" style="122"/>
    <col min="23" max="23" width="10.77734375" style="122" customWidth="1"/>
    <col min="24" max="24" width="11.44140625" style="122" customWidth="1"/>
    <col min="25" max="43" width="9.21875" style="122"/>
    <col min="44" max="117" width="9.21875" style="115"/>
    <col min="118" max="249" width="9.21875" style="123"/>
    <col min="250" max="250" width="2.44140625" style="123" customWidth="1"/>
    <col min="251" max="251" width="12.5546875" style="123" bestFit="1" customWidth="1"/>
    <col min="252" max="252" width="6" style="123" customWidth="1"/>
    <col min="253" max="253" width="32.77734375" style="123" customWidth="1"/>
    <col min="254" max="254" width="53" style="123" bestFit="1" customWidth="1"/>
    <col min="255" max="255" width="1.44140625" style="123" customWidth="1"/>
    <col min="256" max="257" width="0" style="123" hidden="1" customWidth="1"/>
    <col min="258" max="258" width="1.44140625" style="123" customWidth="1"/>
    <col min="259" max="259" width="25.5546875" style="123" bestFit="1" customWidth="1"/>
    <col min="260" max="260" width="12.77734375" style="123" bestFit="1" customWidth="1"/>
    <col min="261" max="261" width="8.44140625" style="123" bestFit="1" customWidth="1"/>
    <col min="262" max="262" width="2.44140625" style="123" customWidth="1"/>
    <col min="263" max="263" width="22" style="123" customWidth="1"/>
    <col min="264" max="264" width="9.5546875" style="123" bestFit="1" customWidth="1"/>
    <col min="265" max="265" width="5.77734375" style="123" customWidth="1"/>
    <col min="266" max="266" width="10.44140625" style="123" customWidth="1"/>
    <col min="267" max="267" width="3.44140625" style="123" customWidth="1"/>
    <col min="268" max="268" width="23.44140625" style="123" customWidth="1"/>
    <col min="269" max="269" width="13.5546875" style="123" bestFit="1" customWidth="1"/>
    <col min="270" max="270" width="25.5546875" style="123" bestFit="1" customWidth="1"/>
    <col min="271" max="271" width="10.5546875" style="123" customWidth="1"/>
    <col min="272" max="272" width="10.77734375" style="123" customWidth="1"/>
    <col min="273" max="273" width="10.44140625" style="123" customWidth="1"/>
    <col min="274" max="279" width="0" style="123" hidden="1" customWidth="1"/>
    <col min="280" max="280" width="11.44140625" style="123" customWidth="1"/>
    <col min="281" max="505" width="9.21875" style="123"/>
    <col min="506" max="506" width="2.44140625" style="123" customWidth="1"/>
    <col min="507" max="507" width="12.5546875" style="123" bestFit="1" customWidth="1"/>
    <col min="508" max="508" width="6" style="123" customWidth="1"/>
    <col min="509" max="509" width="32.77734375" style="123" customWidth="1"/>
    <col min="510" max="510" width="53" style="123" bestFit="1" customWidth="1"/>
    <col min="511" max="511" width="1.44140625" style="123" customWidth="1"/>
    <col min="512" max="513" width="0" style="123" hidden="1" customWidth="1"/>
    <col min="514" max="514" width="1.44140625" style="123" customWidth="1"/>
    <col min="515" max="515" width="25.5546875" style="123" bestFit="1" customWidth="1"/>
    <col min="516" max="516" width="12.77734375" style="123" bestFit="1" customWidth="1"/>
    <col min="517" max="517" width="8.44140625" style="123" bestFit="1" customWidth="1"/>
    <col min="518" max="518" width="2.44140625" style="123" customWidth="1"/>
    <col min="519" max="519" width="22" style="123" customWidth="1"/>
    <col min="520" max="520" width="9.5546875" style="123" bestFit="1" customWidth="1"/>
    <col min="521" max="521" width="5.77734375" style="123" customWidth="1"/>
    <col min="522" max="522" width="10.44140625" style="123" customWidth="1"/>
    <col min="523" max="523" width="3.44140625" style="123" customWidth="1"/>
    <col min="524" max="524" width="23.44140625" style="123" customWidth="1"/>
    <col min="525" max="525" width="13.5546875" style="123" bestFit="1" customWidth="1"/>
    <col min="526" max="526" width="25.5546875" style="123" bestFit="1" customWidth="1"/>
    <col min="527" max="527" width="10.5546875" style="123" customWidth="1"/>
    <col min="528" max="528" width="10.77734375" style="123" customWidth="1"/>
    <col min="529" max="529" width="10.44140625" style="123" customWidth="1"/>
    <col min="530" max="535" width="0" style="123" hidden="1" customWidth="1"/>
    <col min="536" max="536" width="11.44140625" style="123" customWidth="1"/>
    <col min="537" max="761" width="9.21875" style="123"/>
    <col min="762" max="762" width="2.44140625" style="123" customWidth="1"/>
    <col min="763" max="763" width="12.5546875" style="123" bestFit="1" customWidth="1"/>
    <col min="764" max="764" width="6" style="123" customWidth="1"/>
    <col min="765" max="765" width="32.77734375" style="123" customWidth="1"/>
    <col min="766" max="766" width="53" style="123" bestFit="1" customWidth="1"/>
    <col min="767" max="767" width="1.44140625" style="123" customWidth="1"/>
    <col min="768" max="769" width="0" style="123" hidden="1" customWidth="1"/>
    <col min="770" max="770" width="1.44140625" style="123" customWidth="1"/>
    <col min="771" max="771" width="25.5546875" style="123" bestFit="1" customWidth="1"/>
    <col min="772" max="772" width="12.77734375" style="123" bestFit="1" customWidth="1"/>
    <col min="773" max="773" width="8.44140625" style="123" bestFit="1" customWidth="1"/>
    <col min="774" max="774" width="2.44140625" style="123" customWidth="1"/>
    <col min="775" max="775" width="22" style="123" customWidth="1"/>
    <col min="776" max="776" width="9.5546875" style="123" bestFit="1" customWidth="1"/>
    <col min="777" max="777" width="5.77734375" style="123" customWidth="1"/>
    <col min="778" max="778" width="10.44140625" style="123" customWidth="1"/>
    <col min="779" max="779" width="3.44140625" style="123" customWidth="1"/>
    <col min="780" max="780" width="23.44140625" style="123" customWidth="1"/>
    <col min="781" max="781" width="13.5546875" style="123" bestFit="1" customWidth="1"/>
    <col min="782" max="782" width="25.5546875" style="123" bestFit="1" customWidth="1"/>
    <col min="783" max="783" width="10.5546875" style="123" customWidth="1"/>
    <col min="784" max="784" width="10.77734375" style="123" customWidth="1"/>
    <col min="785" max="785" width="10.44140625" style="123" customWidth="1"/>
    <col min="786" max="791" width="0" style="123" hidden="1" customWidth="1"/>
    <col min="792" max="792" width="11.44140625" style="123" customWidth="1"/>
    <col min="793" max="1017" width="9.21875" style="123"/>
    <col min="1018" max="1018" width="2.44140625" style="123" customWidth="1"/>
    <col min="1019" max="1019" width="12.5546875" style="123" bestFit="1" customWidth="1"/>
    <col min="1020" max="1020" width="6" style="123" customWidth="1"/>
    <col min="1021" max="1021" width="32.77734375" style="123" customWidth="1"/>
    <col min="1022" max="1022" width="53" style="123" bestFit="1" customWidth="1"/>
    <col min="1023" max="1023" width="1.44140625" style="123" customWidth="1"/>
    <col min="1024" max="1025" width="0" style="123" hidden="1" customWidth="1"/>
    <col min="1026" max="1026" width="1.44140625" style="123" customWidth="1"/>
    <col min="1027" max="1027" width="25.5546875" style="123" bestFit="1" customWidth="1"/>
    <col min="1028" max="1028" width="12.77734375" style="123" bestFit="1" customWidth="1"/>
    <col min="1029" max="1029" width="8.44140625" style="123" bestFit="1" customWidth="1"/>
    <col min="1030" max="1030" width="2.44140625" style="123" customWidth="1"/>
    <col min="1031" max="1031" width="22" style="123" customWidth="1"/>
    <col min="1032" max="1032" width="9.5546875" style="123" bestFit="1" customWidth="1"/>
    <col min="1033" max="1033" width="5.77734375" style="123" customWidth="1"/>
    <col min="1034" max="1034" width="10.44140625" style="123" customWidth="1"/>
    <col min="1035" max="1035" width="3.44140625" style="123" customWidth="1"/>
    <col min="1036" max="1036" width="23.44140625" style="123" customWidth="1"/>
    <col min="1037" max="1037" width="13.5546875" style="123" bestFit="1" customWidth="1"/>
    <col min="1038" max="1038" width="25.5546875" style="123" bestFit="1" customWidth="1"/>
    <col min="1039" max="1039" width="10.5546875" style="123" customWidth="1"/>
    <col min="1040" max="1040" width="10.77734375" style="123" customWidth="1"/>
    <col min="1041" max="1041" width="10.44140625" style="123" customWidth="1"/>
    <col min="1042" max="1047" width="0" style="123" hidden="1" customWidth="1"/>
    <col min="1048" max="1048" width="11.44140625" style="123" customWidth="1"/>
    <col min="1049" max="1273" width="9.21875" style="123"/>
    <col min="1274" max="1274" width="2.44140625" style="123" customWidth="1"/>
    <col min="1275" max="1275" width="12.5546875" style="123" bestFit="1" customWidth="1"/>
    <col min="1276" max="1276" width="6" style="123" customWidth="1"/>
    <col min="1277" max="1277" width="32.77734375" style="123" customWidth="1"/>
    <col min="1278" max="1278" width="53" style="123" bestFit="1" customWidth="1"/>
    <col min="1279" max="1279" width="1.44140625" style="123" customWidth="1"/>
    <col min="1280" max="1281" width="0" style="123" hidden="1" customWidth="1"/>
    <col min="1282" max="1282" width="1.44140625" style="123" customWidth="1"/>
    <col min="1283" max="1283" width="25.5546875" style="123" bestFit="1" customWidth="1"/>
    <col min="1284" max="1284" width="12.77734375" style="123" bestFit="1" customWidth="1"/>
    <col min="1285" max="1285" width="8.44140625" style="123" bestFit="1" customWidth="1"/>
    <col min="1286" max="1286" width="2.44140625" style="123" customWidth="1"/>
    <col min="1287" max="1287" width="22" style="123" customWidth="1"/>
    <col min="1288" max="1288" width="9.5546875" style="123" bestFit="1" customWidth="1"/>
    <col min="1289" max="1289" width="5.77734375" style="123" customWidth="1"/>
    <col min="1290" max="1290" width="10.44140625" style="123" customWidth="1"/>
    <col min="1291" max="1291" width="3.44140625" style="123" customWidth="1"/>
    <col min="1292" max="1292" width="23.44140625" style="123" customWidth="1"/>
    <col min="1293" max="1293" width="13.5546875" style="123" bestFit="1" customWidth="1"/>
    <col min="1294" max="1294" width="25.5546875" style="123" bestFit="1" customWidth="1"/>
    <col min="1295" max="1295" width="10.5546875" style="123" customWidth="1"/>
    <col min="1296" max="1296" width="10.77734375" style="123" customWidth="1"/>
    <col min="1297" max="1297" width="10.44140625" style="123" customWidth="1"/>
    <col min="1298" max="1303" width="0" style="123" hidden="1" customWidth="1"/>
    <col min="1304" max="1304" width="11.44140625" style="123" customWidth="1"/>
    <col min="1305" max="1529" width="9.21875" style="123"/>
    <col min="1530" max="1530" width="2.44140625" style="123" customWidth="1"/>
    <col min="1531" max="1531" width="12.5546875" style="123" bestFit="1" customWidth="1"/>
    <col min="1532" max="1532" width="6" style="123" customWidth="1"/>
    <col min="1533" max="1533" width="32.77734375" style="123" customWidth="1"/>
    <col min="1534" max="1534" width="53" style="123" bestFit="1" customWidth="1"/>
    <col min="1535" max="1535" width="1.44140625" style="123" customWidth="1"/>
    <col min="1536" max="1537" width="0" style="123" hidden="1" customWidth="1"/>
    <col min="1538" max="1538" width="1.44140625" style="123" customWidth="1"/>
    <col min="1539" max="1539" width="25.5546875" style="123" bestFit="1" customWidth="1"/>
    <col min="1540" max="1540" width="12.77734375" style="123" bestFit="1" customWidth="1"/>
    <col min="1541" max="1541" width="8.44140625" style="123" bestFit="1" customWidth="1"/>
    <col min="1542" max="1542" width="2.44140625" style="123" customWidth="1"/>
    <col min="1543" max="1543" width="22" style="123" customWidth="1"/>
    <col min="1544" max="1544" width="9.5546875" style="123" bestFit="1" customWidth="1"/>
    <col min="1545" max="1545" width="5.77734375" style="123" customWidth="1"/>
    <col min="1546" max="1546" width="10.44140625" style="123" customWidth="1"/>
    <col min="1547" max="1547" width="3.44140625" style="123" customWidth="1"/>
    <col min="1548" max="1548" width="23.44140625" style="123" customWidth="1"/>
    <col min="1549" max="1549" width="13.5546875" style="123" bestFit="1" customWidth="1"/>
    <col min="1550" max="1550" width="25.5546875" style="123" bestFit="1" customWidth="1"/>
    <col min="1551" max="1551" width="10.5546875" style="123" customWidth="1"/>
    <col min="1552" max="1552" width="10.77734375" style="123" customWidth="1"/>
    <col min="1553" max="1553" width="10.44140625" style="123" customWidth="1"/>
    <col min="1554" max="1559" width="0" style="123" hidden="1" customWidth="1"/>
    <col min="1560" max="1560" width="11.44140625" style="123" customWidth="1"/>
    <col min="1561" max="1785" width="9.21875" style="123"/>
    <col min="1786" max="1786" width="2.44140625" style="123" customWidth="1"/>
    <col min="1787" max="1787" width="12.5546875" style="123" bestFit="1" customWidth="1"/>
    <col min="1788" max="1788" width="6" style="123" customWidth="1"/>
    <col min="1789" max="1789" width="32.77734375" style="123" customWidth="1"/>
    <col min="1790" max="1790" width="53" style="123" bestFit="1" customWidth="1"/>
    <col min="1791" max="1791" width="1.44140625" style="123" customWidth="1"/>
    <col min="1792" max="1793" width="0" style="123" hidden="1" customWidth="1"/>
    <col min="1794" max="1794" width="1.44140625" style="123" customWidth="1"/>
    <col min="1795" max="1795" width="25.5546875" style="123" bestFit="1" customWidth="1"/>
    <col min="1796" max="1796" width="12.77734375" style="123" bestFit="1" customWidth="1"/>
    <col min="1797" max="1797" width="8.44140625" style="123" bestFit="1" customWidth="1"/>
    <col min="1798" max="1798" width="2.44140625" style="123" customWidth="1"/>
    <col min="1799" max="1799" width="22" style="123" customWidth="1"/>
    <col min="1800" max="1800" width="9.5546875" style="123" bestFit="1" customWidth="1"/>
    <col min="1801" max="1801" width="5.77734375" style="123" customWidth="1"/>
    <col min="1802" max="1802" width="10.44140625" style="123" customWidth="1"/>
    <col min="1803" max="1803" width="3.44140625" style="123" customWidth="1"/>
    <col min="1804" max="1804" width="23.44140625" style="123" customWidth="1"/>
    <col min="1805" max="1805" width="13.5546875" style="123" bestFit="1" customWidth="1"/>
    <col min="1806" max="1806" width="25.5546875" style="123" bestFit="1" customWidth="1"/>
    <col min="1807" max="1807" width="10.5546875" style="123" customWidth="1"/>
    <col min="1808" max="1808" width="10.77734375" style="123" customWidth="1"/>
    <col min="1809" max="1809" width="10.44140625" style="123" customWidth="1"/>
    <col min="1810" max="1815" width="0" style="123" hidden="1" customWidth="1"/>
    <col min="1816" max="1816" width="11.44140625" style="123" customWidth="1"/>
    <col min="1817" max="2041" width="9.21875" style="123"/>
    <col min="2042" max="2042" width="2.44140625" style="123" customWidth="1"/>
    <col min="2043" max="2043" width="12.5546875" style="123" bestFit="1" customWidth="1"/>
    <col min="2044" max="2044" width="6" style="123" customWidth="1"/>
    <col min="2045" max="2045" width="32.77734375" style="123" customWidth="1"/>
    <col min="2046" max="2046" width="53" style="123" bestFit="1" customWidth="1"/>
    <col min="2047" max="2047" width="1.44140625" style="123" customWidth="1"/>
    <col min="2048" max="2049" width="0" style="123" hidden="1" customWidth="1"/>
    <col min="2050" max="2050" width="1.44140625" style="123" customWidth="1"/>
    <col min="2051" max="2051" width="25.5546875" style="123" bestFit="1" customWidth="1"/>
    <col min="2052" max="2052" width="12.77734375" style="123" bestFit="1" customWidth="1"/>
    <col min="2053" max="2053" width="8.44140625" style="123" bestFit="1" customWidth="1"/>
    <col min="2054" max="2054" width="2.44140625" style="123" customWidth="1"/>
    <col min="2055" max="2055" width="22" style="123" customWidth="1"/>
    <col min="2056" max="2056" width="9.5546875" style="123" bestFit="1" customWidth="1"/>
    <col min="2057" max="2057" width="5.77734375" style="123" customWidth="1"/>
    <col min="2058" max="2058" width="10.44140625" style="123" customWidth="1"/>
    <col min="2059" max="2059" width="3.44140625" style="123" customWidth="1"/>
    <col min="2060" max="2060" width="23.44140625" style="123" customWidth="1"/>
    <col min="2061" max="2061" width="13.5546875" style="123" bestFit="1" customWidth="1"/>
    <col min="2062" max="2062" width="25.5546875" style="123" bestFit="1" customWidth="1"/>
    <col min="2063" max="2063" width="10.5546875" style="123" customWidth="1"/>
    <col min="2064" max="2064" width="10.77734375" style="123" customWidth="1"/>
    <col min="2065" max="2065" width="10.44140625" style="123" customWidth="1"/>
    <col min="2066" max="2071" width="0" style="123" hidden="1" customWidth="1"/>
    <col min="2072" max="2072" width="11.44140625" style="123" customWidth="1"/>
    <col min="2073" max="2297" width="9.21875" style="123"/>
    <col min="2298" max="2298" width="2.44140625" style="123" customWidth="1"/>
    <col min="2299" max="2299" width="12.5546875" style="123" bestFit="1" customWidth="1"/>
    <col min="2300" max="2300" width="6" style="123" customWidth="1"/>
    <col min="2301" max="2301" width="32.77734375" style="123" customWidth="1"/>
    <col min="2302" max="2302" width="53" style="123" bestFit="1" customWidth="1"/>
    <col min="2303" max="2303" width="1.44140625" style="123" customWidth="1"/>
    <col min="2304" max="2305" width="0" style="123" hidden="1" customWidth="1"/>
    <col min="2306" max="2306" width="1.44140625" style="123" customWidth="1"/>
    <col min="2307" max="2307" width="25.5546875" style="123" bestFit="1" customWidth="1"/>
    <col min="2308" max="2308" width="12.77734375" style="123" bestFit="1" customWidth="1"/>
    <col min="2309" max="2309" width="8.44140625" style="123" bestFit="1" customWidth="1"/>
    <col min="2310" max="2310" width="2.44140625" style="123" customWidth="1"/>
    <col min="2311" max="2311" width="22" style="123" customWidth="1"/>
    <col min="2312" max="2312" width="9.5546875" style="123" bestFit="1" customWidth="1"/>
    <col min="2313" max="2313" width="5.77734375" style="123" customWidth="1"/>
    <col min="2314" max="2314" width="10.44140625" style="123" customWidth="1"/>
    <col min="2315" max="2315" width="3.44140625" style="123" customWidth="1"/>
    <col min="2316" max="2316" width="23.44140625" style="123" customWidth="1"/>
    <col min="2317" max="2317" width="13.5546875" style="123" bestFit="1" customWidth="1"/>
    <col min="2318" max="2318" width="25.5546875" style="123" bestFit="1" customWidth="1"/>
    <col min="2319" max="2319" width="10.5546875" style="123" customWidth="1"/>
    <col min="2320" max="2320" width="10.77734375" style="123" customWidth="1"/>
    <col min="2321" max="2321" width="10.44140625" style="123" customWidth="1"/>
    <col min="2322" max="2327" width="0" style="123" hidden="1" customWidth="1"/>
    <col min="2328" max="2328" width="11.44140625" style="123" customWidth="1"/>
    <col min="2329" max="2553" width="9.21875" style="123"/>
    <col min="2554" max="2554" width="2.44140625" style="123" customWidth="1"/>
    <col min="2555" max="2555" width="12.5546875" style="123" bestFit="1" customWidth="1"/>
    <col min="2556" max="2556" width="6" style="123" customWidth="1"/>
    <col min="2557" max="2557" width="32.77734375" style="123" customWidth="1"/>
    <col min="2558" max="2558" width="53" style="123" bestFit="1" customWidth="1"/>
    <col min="2559" max="2559" width="1.44140625" style="123" customWidth="1"/>
    <col min="2560" max="2561" width="0" style="123" hidden="1" customWidth="1"/>
    <col min="2562" max="2562" width="1.44140625" style="123" customWidth="1"/>
    <col min="2563" max="2563" width="25.5546875" style="123" bestFit="1" customWidth="1"/>
    <col min="2564" max="2564" width="12.77734375" style="123" bestFit="1" customWidth="1"/>
    <col min="2565" max="2565" width="8.44140625" style="123" bestFit="1" customWidth="1"/>
    <col min="2566" max="2566" width="2.44140625" style="123" customWidth="1"/>
    <col min="2567" max="2567" width="22" style="123" customWidth="1"/>
    <col min="2568" max="2568" width="9.5546875" style="123" bestFit="1" customWidth="1"/>
    <col min="2569" max="2569" width="5.77734375" style="123" customWidth="1"/>
    <col min="2570" max="2570" width="10.44140625" style="123" customWidth="1"/>
    <col min="2571" max="2571" width="3.44140625" style="123" customWidth="1"/>
    <col min="2572" max="2572" width="23.44140625" style="123" customWidth="1"/>
    <col min="2573" max="2573" width="13.5546875" style="123" bestFit="1" customWidth="1"/>
    <col min="2574" max="2574" width="25.5546875" style="123" bestFit="1" customWidth="1"/>
    <col min="2575" max="2575" width="10.5546875" style="123" customWidth="1"/>
    <col min="2576" max="2576" width="10.77734375" style="123" customWidth="1"/>
    <col min="2577" max="2577" width="10.44140625" style="123" customWidth="1"/>
    <col min="2578" max="2583" width="0" style="123" hidden="1" customWidth="1"/>
    <col min="2584" max="2584" width="11.44140625" style="123" customWidth="1"/>
    <col min="2585" max="2809" width="9.21875" style="123"/>
    <col min="2810" max="2810" width="2.44140625" style="123" customWidth="1"/>
    <col min="2811" max="2811" width="12.5546875" style="123" bestFit="1" customWidth="1"/>
    <col min="2812" max="2812" width="6" style="123" customWidth="1"/>
    <col min="2813" max="2813" width="32.77734375" style="123" customWidth="1"/>
    <col min="2814" max="2814" width="53" style="123" bestFit="1" customWidth="1"/>
    <col min="2815" max="2815" width="1.44140625" style="123" customWidth="1"/>
    <col min="2816" max="2817" width="0" style="123" hidden="1" customWidth="1"/>
    <col min="2818" max="2818" width="1.44140625" style="123" customWidth="1"/>
    <col min="2819" max="2819" width="25.5546875" style="123" bestFit="1" customWidth="1"/>
    <col min="2820" max="2820" width="12.77734375" style="123" bestFit="1" customWidth="1"/>
    <col min="2821" max="2821" width="8.44140625" style="123" bestFit="1" customWidth="1"/>
    <col min="2822" max="2822" width="2.44140625" style="123" customWidth="1"/>
    <col min="2823" max="2823" width="22" style="123" customWidth="1"/>
    <col min="2824" max="2824" width="9.5546875" style="123" bestFit="1" customWidth="1"/>
    <col min="2825" max="2825" width="5.77734375" style="123" customWidth="1"/>
    <col min="2826" max="2826" width="10.44140625" style="123" customWidth="1"/>
    <col min="2827" max="2827" width="3.44140625" style="123" customWidth="1"/>
    <col min="2828" max="2828" width="23.44140625" style="123" customWidth="1"/>
    <col min="2829" max="2829" width="13.5546875" style="123" bestFit="1" customWidth="1"/>
    <col min="2830" max="2830" width="25.5546875" style="123" bestFit="1" customWidth="1"/>
    <col min="2831" max="2831" width="10.5546875" style="123" customWidth="1"/>
    <col min="2832" max="2832" width="10.77734375" style="123" customWidth="1"/>
    <col min="2833" max="2833" width="10.44140625" style="123" customWidth="1"/>
    <col min="2834" max="2839" width="0" style="123" hidden="1" customWidth="1"/>
    <col min="2840" max="2840" width="11.44140625" style="123" customWidth="1"/>
    <col min="2841" max="3065" width="9.21875" style="123"/>
    <col min="3066" max="3066" width="2.44140625" style="123" customWidth="1"/>
    <col min="3067" max="3067" width="12.5546875" style="123" bestFit="1" customWidth="1"/>
    <col min="3068" max="3068" width="6" style="123" customWidth="1"/>
    <col min="3069" max="3069" width="32.77734375" style="123" customWidth="1"/>
    <col min="3070" max="3070" width="53" style="123" bestFit="1" customWidth="1"/>
    <col min="3071" max="3071" width="1.44140625" style="123" customWidth="1"/>
    <col min="3072" max="3073" width="0" style="123" hidden="1" customWidth="1"/>
    <col min="3074" max="3074" width="1.44140625" style="123" customWidth="1"/>
    <col min="3075" max="3075" width="25.5546875" style="123" bestFit="1" customWidth="1"/>
    <col min="3076" max="3076" width="12.77734375" style="123" bestFit="1" customWidth="1"/>
    <col min="3077" max="3077" width="8.44140625" style="123" bestFit="1" customWidth="1"/>
    <col min="3078" max="3078" width="2.44140625" style="123" customWidth="1"/>
    <col min="3079" max="3079" width="22" style="123" customWidth="1"/>
    <col min="3080" max="3080" width="9.5546875" style="123" bestFit="1" customWidth="1"/>
    <col min="3081" max="3081" width="5.77734375" style="123" customWidth="1"/>
    <col min="3082" max="3082" width="10.44140625" style="123" customWidth="1"/>
    <col min="3083" max="3083" width="3.44140625" style="123" customWidth="1"/>
    <col min="3084" max="3084" width="23.44140625" style="123" customWidth="1"/>
    <col min="3085" max="3085" width="13.5546875" style="123" bestFit="1" customWidth="1"/>
    <col min="3086" max="3086" width="25.5546875" style="123" bestFit="1" customWidth="1"/>
    <col min="3087" max="3087" width="10.5546875" style="123" customWidth="1"/>
    <col min="3088" max="3088" width="10.77734375" style="123" customWidth="1"/>
    <col min="3089" max="3089" width="10.44140625" style="123" customWidth="1"/>
    <col min="3090" max="3095" width="0" style="123" hidden="1" customWidth="1"/>
    <col min="3096" max="3096" width="11.44140625" style="123" customWidth="1"/>
    <col min="3097" max="3321" width="9.21875" style="123"/>
    <col min="3322" max="3322" width="2.44140625" style="123" customWidth="1"/>
    <col min="3323" max="3323" width="12.5546875" style="123" bestFit="1" customWidth="1"/>
    <col min="3324" max="3324" width="6" style="123" customWidth="1"/>
    <col min="3325" max="3325" width="32.77734375" style="123" customWidth="1"/>
    <col min="3326" max="3326" width="53" style="123" bestFit="1" customWidth="1"/>
    <col min="3327" max="3327" width="1.44140625" style="123" customWidth="1"/>
    <col min="3328" max="3329" width="0" style="123" hidden="1" customWidth="1"/>
    <col min="3330" max="3330" width="1.44140625" style="123" customWidth="1"/>
    <col min="3331" max="3331" width="25.5546875" style="123" bestFit="1" customWidth="1"/>
    <col min="3332" max="3332" width="12.77734375" style="123" bestFit="1" customWidth="1"/>
    <col min="3333" max="3333" width="8.44140625" style="123" bestFit="1" customWidth="1"/>
    <col min="3334" max="3334" width="2.44140625" style="123" customWidth="1"/>
    <col min="3335" max="3335" width="22" style="123" customWidth="1"/>
    <col min="3336" max="3336" width="9.5546875" style="123" bestFit="1" customWidth="1"/>
    <col min="3337" max="3337" width="5.77734375" style="123" customWidth="1"/>
    <col min="3338" max="3338" width="10.44140625" style="123" customWidth="1"/>
    <col min="3339" max="3339" width="3.44140625" style="123" customWidth="1"/>
    <col min="3340" max="3340" width="23.44140625" style="123" customWidth="1"/>
    <col min="3341" max="3341" width="13.5546875" style="123" bestFit="1" customWidth="1"/>
    <col min="3342" max="3342" width="25.5546875" style="123" bestFit="1" customWidth="1"/>
    <col min="3343" max="3343" width="10.5546875" style="123" customWidth="1"/>
    <col min="3344" max="3344" width="10.77734375" style="123" customWidth="1"/>
    <col min="3345" max="3345" width="10.44140625" style="123" customWidth="1"/>
    <col min="3346" max="3351" width="0" style="123" hidden="1" customWidth="1"/>
    <col min="3352" max="3352" width="11.44140625" style="123" customWidth="1"/>
    <col min="3353" max="3577" width="9.21875" style="123"/>
    <col min="3578" max="3578" width="2.44140625" style="123" customWidth="1"/>
    <col min="3579" max="3579" width="12.5546875" style="123" bestFit="1" customWidth="1"/>
    <col min="3580" max="3580" width="6" style="123" customWidth="1"/>
    <col min="3581" max="3581" width="32.77734375" style="123" customWidth="1"/>
    <col min="3582" max="3582" width="53" style="123" bestFit="1" customWidth="1"/>
    <col min="3583" max="3583" width="1.44140625" style="123" customWidth="1"/>
    <col min="3584" max="3585" width="0" style="123" hidden="1" customWidth="1"/>
    <col min="3586" max="3586" width="1.44140625" style="123" customWidth="1"/>
    <col min="3587" max="3587" width="25.5546875" style="123" bestFit="1" customWidth="1"/>
    <col min="3588" max="3588" width="12.77734375" style="123" bestFit="1" customWidth="1"/>
    <col min="3589" max="3589" width="8.44140625" style="123" bestFit="1" customWidth="1"/>
    <col min="3590" max="3590" width="2.44140625" style="123" customWidth="1"/>
    <col min="3591" max="3591" width="22" style="123" customWidth="1"/>
    <col min="3592" max="3592" width="9.5546875" style="123" bestFit="1" customWidth="1"/>
    <col min="3593" max="3593" width="5.77734375" style="123" customWidth="1"/>
    <col min="3594" max="3594" width="10.44140625" style="123" customWidth="1"/>
    <col min="3595" max="3595" width="3.44140625" style="123" customWidth="1"/>
    <col min="3596" max="3596" width="23.44140625" style="123" customWidth="1"/>
    <col min="3597" max="3597" width="13.5546875" style="123" bestFit="1" customWidth="1"/>
    <col min="3598" max="3598" width="25.5546875" style="123" bestFit="1" customWidth="1"/>
    <col min="3599" max="3599" width="10.5546875" style="123" customWidth="1"/>
    <col min="3600" max="3600" width="10.77734375" style="123" customWidth="1"/>
    <col min="3601" max="3601" width="10.44140625" style="123" customWidth="1"/>
    <col min="3602" max="3607" width="0" style="123" hidden="1" customWidth="1"/>
    <col min="3608" max="3608" width="11.44140625" style="123" customWidth="1"/>
    <col min="3609" max="3833" width="9.21875" style="123"/>
    <col min="3834" max="3834" width="2.44140625" style="123" customWidth="1"/>
    <col min="3835" max="3835" width="12.5546875" style="123" bestFit="1" customWidth="1"/>
    <col min="3836" max="3836" width="6" style="123" customWidth="1"/>
    <col min="3837" max="3837" width="32.77734375" style="123" customWidth="1"/>
    <col min="3838" max="3838" width="53" style="123" bestFit="1" customWidth="1"/>
    <col min="3839" max="3839" width="1.44140625" style="123" customWidth="1"/>
    <col min="3840" max="3841" width="0" style="123" hidden="1" customWidth="1"/>
    <col min="3842" max="3842" width="1.44140625" style="123" customWidth="1"/>
    <col min="3843" max="3843" width="25.5546875" style="123" bestFit="1" customWidth="1"/>
    <col min="3844" max="3844" width="12.77734375" style="123" bestFit="1" customWidth="1"/>
    <col min="3845" max="3845" width="8.44140625" style="123" bestFit="1" customWidth="1"/>
    <col min="3846" max="3846" width="2.44140625" style="123" customWidth="1"/>
    <col min="3847" max="3847" width="22" style="123" customWidth="1"/>
    <col min="3848" max="3848" width="9.5546875" style="123" bestFit="1" customWidth="1"/>
    <col min="3849" max="3849" width="5.77734375" style="123" customWidth="1"/>
    <col min="3850" max="3850" width="10.44140625" style="123" customWidth="1"/>
    <col min="3851" max="3851" width="3.44140625" style="123" customWidth="1"/>
    <col min="3852" max="3852" width="23.44140625" style="123" customWidth="1"/>
    <col min="3853" max="3853" width="13.5546875" style="123" bestFit="1" customWidth="1"/>
    <col min="3854" max="3854" width="25.5546875" style="123" bestFit="1" customWidth="1"/>
    <col min="3855" max="3855" width="10.5546875" style="123" customWidth="1"/>
    <col min="3856" max="3856" width="10.77734375" style="123" customWidth="1"/>
    <col min="3857" max="3857" width="10.44140625" style="123" customWidth="1"/>
    <col min="3858" max="3863" width="0" style="123" hidden="1" customWidth="1"/>
    <col min="3864" max="3864" width="11.44140625" style="123" customWidth="1"/>
    <col min="3865" max="4089" width="9.21875" style="123"/>
    <col min="4090" max="4090" width="2.44140625" style="123" customWidth="1"/>
    <col min="4091" max="4091" width="12.5546875" style="123" bestFit="1" customWidth="1"/>
    <col min="4092" max="4092" width="6" style="123" customWidth="1"/>
    <col min="4093" max="4093" width="32.77734375" style="123" customWidth="1"/>
    <col min="4094" max="4094" width="53" style="123" bestFit="1" customWidth="1"/>
    <col min="4095" max="4095" width="1.44140625" style="123" customWidth="1"/>
    <col min="4096" max="4097" width="0" style="123" hidden="1" customWidth="1"/>
    <col min="4098" max="4098" width="1.44140625" style="123" customWidth="1"/>
    <col min="4099" max="4099" width="25.5546875" style="123" bestFit="1" customWidth="1"/>
    <col min="4100" max="4100" width="12.77734375" style="123" bestFit="1" customWidth="1"/>
    <col min="4101" max="4101" width="8.44140625" style="123" bestFit="1" customWidth="1"/>
    <col min="4102" max="4102" width="2.44140625" style="123" customWidth="1"/>
    <col min="4103" max="4103" width="22" style="123" customWidth="1"/>
    <col min="4104" max="4104" width="9.5546875" style="123" bestFit="1" customWidth="1"/>
    <col min="4105" max="4105" width="5.77734375" style="123" customWidth="1"/>
    <col min="4106" max="4106" width="10.44140625" style="123" customWidth="1"/>
    <col min="4107" max="4107" width="3.44140625" style="123" customWidth="1"/>
    <col min="4108" max="4108" width="23.44140625" style="123" customWidth="1"/>
    <col min="4109" max="4109" width="13.5546875" style="123" bestFit="1" customWidth="1"/>
    <col min="4110" max="4110" width="25.5546875" style="123" bestFit="1" customWidth="1"/>
    <col min="4111" max="4111" width="10.5546875" style="123" customWidth="1"/>
    <col min="4112" max="4112" width="10.77734375" style="123" customWidth="1"/>
    <col min="4113" max="4113" width="10.44140625" style="123" customWidth="1"/>
    <col min="4114" max="4119" width="0" style="123" hidden="1" customWidth="1"/>
    <col min="4120" max="4120" width="11.44140625" style="123" customWidth="1"/>
    <col min="4121" max="4345" width="9.21875" style="123"/>
    <col min="4346" max="4346" width="2.44140625" style="123" customWidth="1"/>
    <col min="4347" max="4347" width="12.5546875" style="123" bestFit="1" customWidth="1"/>
    <col min="4348" max="4348" width="6" style="123" customWidth="1"/>
    <col min="4349" max="4349" width="32.77734375" style="123" customWidth="1"/>
    <col min="4350" max="4350" width="53" style="123" bestFit="1" customWidth="1"/>
    <col min="4351" max="4351" width="1.44140625" style="123" customWidth="1"/>
    <col min="4352" max="4353" width="0" style="123" hidden="1" customWidth="1"/>
    <col min="4354" max="4354" width="1.44140625" style="123" customWidth="1"/>
    <col min="4355" max="4355" width="25.5546875" style="123" bestFit="1" customWidth="1"/>
    <col min="4356" max="4356" width="12.77734375" style="123" bestFit="1" customWidth="1"/>
    <col min="4357" max="4357" width="8.44140625" style="123" bestFit="1" customWidth="1"/>
    <col min="4358" max="4358" width="2.44140625" style="123" customWidth="1"/>
    <col min="4359" max="4359" width="22" style="123" customWidth="1"/>
    <col min="4360" max="4360" width="9.5546875" style="123" bestFit="1" customWidth="1"/>
    <col min="4361" max="4361" width="5.77734375" style="123" customWidth="1"/>
    <col min="4362" max="4362" width="10.44140625" style="123" customWidth="1"/>
    <col min="4363" max="4363" width="3.44140625" style="123" customWidth="1"/>
    <col min="4364" max="4364" width="23.44140625" style="123" customWidth="1"/>
    <col min="4365" max="4365" width="13.5546875" style="123" bestFit="1" customWidth="1"/>
    <col min="4366" max="4366" width="25.5546875" style="123" bestFit="1" customWidth="1"/>
    <col min="4367" max="4367" width="10.5546875" style="123" customWidth="1"/>
    <col min="4368" max="4368" width="10.77734375" style="123" customWidth="1"/>
    <col min="4369" max="4369" width="10.44140625" style="123" customWidth="1"/>
    <col min="4370" max="4375" width="0" style="123" hidden="1" customWidth="1"/>
    <col min="4376" max="4376" width="11.44140625" style="123" customWidth="1"/>
    <col min="4377" max="4601" width="9.21875" style="123"/>
    <col min="4602" max="4602" width="2.44140625" style="123" customWidth="1"/>
    <col min="4603" max="4603" width="12.5546875" style="123" bestFit="1" customWidth="1"/>
    <col min="4604" max="4604" width="6" style="123" customWidth="1"/>
    <col min="4605" max="4605" width="32.77734375" style="123" customWidth="1"/>
    <col min="4606" max="4606" width="53" style="123" bestFit="1" customWidth="1"/>
    <col min="4607" max="4607" width="1.44140625" style="123" customWidth="1"/>
    <col min="4608" max="4609" width="0" style="123" hidden="1" customWidth="1"/>
    <col min="4610" max="4610" width="1.44140625" style="123" customWidth="1"/>
    <col min="4611" max="4611" width="25.5546875" style="123" bestFit="1" customWidth="1"/>
    <col min="4612" max="4612" width="12.77734375" style="123" bestFit="1" customWidth="1"/>
    <col min="4613" max="4613" width="8.44140625" style="123" bestFit="1" customWidth="1"/>
    <col min="4614" max="4614" width="2.44140625" style="123" customWidth="1"/>
    <col min="4615" max="4615" width="22" style="123" customWidth="1"/>
    <col min="4616" max="4616" width="9.5546875" style="123" bestFit="1" customWidth="1"/>
    <col min="4617" max="4617" width="5.77734375" style="123" customWidth="1"/>
    <col min="4618" max="4618" width="10.44140625" style="123" customWidth="1"/>
    <col min="4619" max="4619" width="3.44140625" style="123" customWidth="1"/>
    <col min="4620" max="4620" width="23.44140625" style="123" customWidth="1"/>
    <col min="4621" max="4621" width="13.5546875" style="123" bestFit="1" customWidth="1"/>
    <col min="4622" max="4622" width="25.5546875" style="123" bestFit="1" customWidth="1"/>
    <col min="4623" max="4623" width="10.5546875" style="123" customWidth="1"/>
    <col min="4624" max="4624" width="10.77734375" style="123" customWidth="1"/>
    <col min="4625" max="4625" width="10.44140625" style="123" customWidth="1"/>
    <col min="4626" max="4631" width="0" style="123" hidden="1" customWidth="1"/>
    <col min="4632" max="4632" width="11.44140625" style="123" customWidth="1"/>
    <col min="4633" max="4857" width="9.21875" style="123"/>
    <col min="4858" max="4858" width="2.44140625" style="123" customWidth="1"/>
    <col min="4859" max="4859" width="12.5546875" style="123" bestFit="1" customWidth="1"/>
    <col min="4860" max="4860" width="6" style="123" customWidth="1"/>
    <col min="4861" max="4861" width="32.77734375" style="123" customWidth="1"/>
    <col min="4862" max="4862" width="53" style="123" bestFit="1" customWidth="1"/>
    <col min="4863" max="4863" width="1.44140625" style="123" customWidth="1"/>
    <col min="4864" max="4865" width="0" style="123" hidden="1" customWidth="1"/>
    <col min="4866" max="4866" width="1.44140625" style="123" customWidth="1"/>
    <col min="4867" max="4867" width="25.5546875" style="123" bestFit="1" customWidth="1"/>
    <col min="4868" max="4868" width="12.77734375" style="123" bestFit="1" customWidth="1"/>
    <col min="4869" max="4869" width="8.44140625" style="123" bestFit="1" customWidth="1"/>
    <col min="4870" max="4870" width="2.44140625" style="123" customWidth="1"/>
    <col min="4871" max="4871" width="22" style="123" customWidth="1"/>
    <col min="4872" max="4872" width="9.5546875" style="123" bestFit="1" customWidth="1"/>
    <col min="4873" max="4873" width="5.77734375" style="123" customWidth="1"/>
    <col min="4874" max="4874" width="10.44140625" style="123" customWidth="1"/>
    <col min="4875" max="4875" width="3.44140625" style="123" customWidth="1"/>
    <col min="4876" max="4876" width="23.44140625" style="123" customWidth="1"/>
    <col min="4877" max="4877" width="13.5546875" style="123" bestFit="1" customWidth="1"/>
    <col min="4878" max="4878" width="25.5546875" style="123" bestFit="1" customWidth="1"/>
    <col min="4879" max="4879" width="10.5546875" style="123" customWidth="1"/>
    <col min="4880" max="4880" width="10.77734375" style="123" customWidth="1"/>
    <col min="4881" max="4881" width="10.44140625" style="123" customWidth="1"/>
    <col min="4882" max="4887" width="0" style="123" hidden="1" customWidth="1"/>
    <col min="4888" max="4888" width="11.44140625" style="123" customWidth="1"/>
    <col min="4889" max="5113" width="9.21875" style="123"/>
    <col min="5114" max="5114" width="2.44140625" style="123" customWidth="1"/>
    <col min="5115" max="5115" width="12.5546875" style="123" bestFit="1" customWidth="1"/>
    <col min="5116" max="5116" width="6" style="123" customWidth="1"/>
    <col min="5117" max="5117" width="32.77734375" style="123" customWidth="1"/>
    <col min="5118" max="5118" width="53" style="123" bestFit="1" customWidth="1"/>
    <col min="5119" max="5119" width="1.44140625" style="123" customWidth="1"/>
    <col min="5120" max="5121" width="0" style="123" hidden="1" customWidth="1"/>
    <col min="5122" max="5122" width="1.44140625" style="123" customWidth="1"/>
    <col min="5123" max="5123" width="25.5546875" style="123" bestFit="1" customWidth="1"/>
    <col min="5124" max="5124" width="12.77734375" style="123" bestFit="1" customWidth="1"/>
    <col min="5125" max="5125" width="8.44140625" style="123" bestFit="1" customWidth="1"/>
    <col min="5126" max="5126" width="2.44140625" style="123" customWidth="1"/>
    <col min="5127" max="5127" width="22" style="123" customWidth="1"/>
    <col min="5128" max="5128" width="9.5546875" style="123" bestFit="1" customWidth="1"/>
    <col min="5129" max="5129" width="5.77734375" style="123" customWidth="1"/>
    <col min="5130" max="5130" width="10.44140625" style="123" customWidth="1"/>
    <col min="5131" max="5131" width="3.44140625" style="123" customWidth="1"/>
    <col min="5132" max="5132" width="23.44140625" style="123" customWidth="1"/>
    <col min="5133" max="5133" width="13.5546875" style="123" bestFit="1" customWidth="1"/>
    <col min="5134" max="5134" width="25.5546875" style="123" bestFit="1" customWidth="1"/>
    <col min="5135" max="5135" width="10.5546875" style="123" customWidth="1"/>
    <col min="5136" max="5136" width="10.77734375" style="123" customWidth="1"/>
    <col min="5137" max="5137" width="10.44140625" style="123" customWidth="1"/>
    <col min="5138" max="5143" width="0" style="123" hidden="1" customWidth="1"/>
    <col min="5144" max="5144" width="11.44140625" style="123" customWidth="1"/>
    <col min="5145" max="5369" width="9.21875" style="123"/>
    <col min="5370" max="5370" width="2.44140625" style="123" customWidth="1"/>
    <col min="5371" max="5371" width="12.5546875" style="123" bestFit="1" customWidth="1"/>
    <col min="5372" max="5372" width="6" style="123" customWidth="1"/>
    <col min="5373" max="5373" width="32.77734375" style="123" customWidth="1"/>
    <col min="5374" max="5374" width="53" style="123" bestFit="1" customWidth="1"/>
    <col min="5375" max="5375" width="1.44140625" style="123" customWidth="1"/>
    <col min="5376" max="5377" width="0" style="123" hidden="1" customWidth="1"/>
    <col min="5378" max="5378" width="1.44140625" style="123" customWidth="1"/>
    <col min="5379" max="5379" width="25.5546875" style="123" bestFit="1" customWidth="1"/>
    <col min="5380" max="5380" width="12.77734375" style="123" bestFit="1" customWidth="1"/>
    <col min="5381" max="5381" width="8.44140625" style="123" bestFit="1" customWidth="1"/>
    <col min="5382" max="5382" width="2.44140625" style="123" customWidth="1"/>
    <col min="5383" max="5383" width="22" style="123" customWidth="1"/>
    <col min="5384" max="5384" width="9.5546875" style="123" bestFit="1" customWidth="1"/>
    <col min="5385" max="5385" width="5.77734375" style="123" customWidth="1"/>
    <col min="5386" max="5386" width="10.44140625" style="123" customWidth="1"/>
    <col min="5387" max="5387" width="3.44140625" style="123" customWidth="1"/>
    <col min="5388" max="5388" width="23.44140625" style="123" customWidth="1"/>
    <col min="5389" max="5389" width="13.5546875" style="123" bestFit="1" customWidth="1"/>
    <col min="5390" max="5390" width="25.5546875" style="123" bestFit="1" customWidth="1"/>
    <col min="5391" max="5391" width="10.5546875" style="123" customWidth="1"/>
    <col min="5392" max="5392" width="10.77734375" style="123" customWidth="1"/>
    <col min="5393" max="5393" width="10.44140625" style="123" customWidth="1"/>
    <col min="5394" max="5399" width="0" style="123" hidden="1" customWidth="1"/>
    <col min="5400" max="5400" width="11.44140625" style="123" customWidth="1"/>
    <col min="5401" max="5625" width="9.21875" style="123"/>
    <col min="5626" max="5626" width="2.44140625" style="123" customWidth="1"/>
    <col min="5627" max="5627" width="12.5546875" style="123" bestFit="1" customWidth="1"/>
    <col min="5628" max="5628" width="6" style="123" customWidth="1"/>
    <col min="5629" max="5629" width="32.77734375" style="123" customWidth="1"/>
    <col min="5630" max="5630" width="53" style="123" bestFit="1" customWidth="1"/>
    <col min="5631" max="5631" width="1.44140625" style="123" customWidth="1"/>
    <col min="5632" max="5633" width="0" style="123" hidden="1" customWidth="1"/>
    <col min="5634" max="5634" width="1.44140625" style="123" customWidth="1"/>
    <col min="5635" max="5635" width="25.5546875" style="123" bestFit="1" customWidth="1"/>
    <col min="5636" max="5636" width="12.77734375" style="123" bestFit="1" customWidth="1"/>
    <col min="5637" max="5637" width="8.44140625" style="123" bestFit="1" customWidth="1"/>
    <col min="5638" max="5638" width="2.44140625" style="123" customWidth="1"/>
    <col min="5639" max="5639" width="22" style="123" customWidth="1"/>
    <col min="5640" max="5640" width="9.5546875" style="123" bestFit="1" customWidth="1"/>
    <col min="5641" max="5641" width="5.77734375" style="123" customWidth="1"/>
    <col min="5642" max="5642" width="10.44140625" style="123" customWidth="1"/>
    <col min="5643" max="5643" width="3.44140625" style="123" customWidth="1"/>
    <col min="5644" max="5644" width="23.44140625" style="123" customWidth="1"/>
    <col min="5645" max="5645" width="13.5546875" style="123" bestFit="1" customWidth="1"/>
    <col min="5646" max="5646" width="25.5546875" style="123" bestFit="1" customWidth="1"/>
    <col min="5647" max="5647" width="10.5546875" style="123" customWidth="1"/>
    <col min="5648" max="5648" width="10.77734375" style="123" customWidth="1"/>
    <col min="5649" max="5649" width="10.44140625" style="123" customWidth="1"/>
    <col min="5650" max="5655" width="0" style="123" hidden="1" customWidth="1"/>
    <col min="5656" max="5656" width="11.44140625" style="123" customWidth="1"/>
    <col min="5657" max="5881" width="9.21875" style="123"/>
    <col min="5882" max="5882" width="2.44140625" style="123" customWidth="1"/>
    <col min="5883" max="5883" width="12.5546875" style="123" bestFit="1" customWidth="1"/>
    <col min="5884" max="5884" width="6" style="123" customWidth="1"/>
    <col min="5885" max="5885" width="32.77734375" style="123" customWidth="1"/>
    <col min="5886" max="5886" width="53" style="123" bestFit="1" customWidth="1"/>
    <col min="5887" max="5887" width="1.44140625" style="123" customWidth="1"/>
    <col min="5888" max="5889" width="0" style="123" hidden="1" customWidth="1"/>
    <col min="5890" max="5890" width="1.44140625" style="123" customWidth="1"/>
    <col min="5891" max="5891" width="25.5546875" style="123" bestFit="1" customWidth="1"/>
    <col min="5892" max="5892" width="12.77734375" style="123" bestFit="1" customWidth="1"/>
    <col min="5893" max="5893" width="8.44140625" style="123" bestFit="1" customWidth="1"/>
    <col min="5894" max="5894" width="2.44140625" style="123" customWidth="1"/>
    <col min="5895" max="5895" width="22" style="123" customWidth="1"/>
    <col min="5896" max="5896" width="9.5546875" style="123" bestFit="1" customWidth="1"/>
    <col min="5897" max="5897" width="5.77734375" style="123" customWidth="1"/>
    <col min="5898" max="5898" width="10.44140625" style="123" customWidth="1"/>
    <col min="5899" max="5899" width="3.44140625" style="123" customWidth="1"/>
    <col min="5900" max="5900" width="23.44140625" style="123" customWidth="1"/>
    <col min="5901" max="5901" width="13.5546875" style="123" bestFit="1" customWidth="1"/>
    <col min="5902" max="5902" width="25.5546875" style="123" bestFit="1" customWidth="1"/>
    <col min="5903" max="5903" width="10.5546875" style="123" customWidth="1"/>
    <col min="5904" max="5904" width="10.77734375" style="123" customWidth="1"/>
    <col min="5905" max="5905" width="10.44140625" style="123" customWidth="1"/>
    <col min="5906" max="5911" width="0" style="123" hidden="1" customWidth="1"/>
    <col min="5912" max="5912" width="11.44140625" style="123" customWidth="1"/>
    <col min="5913" max="6137" width="9.21875" style="123"/>
    <col min="6138" max="6138" width="2.44140625" style="123" customWidth="1"/>
    <col min="6139" max="6139" width="12.5546875" style="123" bestFit="1" customWidth="1"/>
    <col min="6140" max="6140" width="6" style="123" customWidth="1"/>
    <col min="6141" max="6141" width="32.77734375" style="123" customWidth="1"/>
    <col min="6142" max="6142" width="53" style="123" bestFit="1" customWidth="1"/>
    <col min="6143" max="6143" width="1.44140625" style="123" customWidth="1"/>
    <col min="6144" max="6145" width="0" style="123" hidden="1" customWidth="1"/>
    <col min="6146" max="6146" width="1.44140625" style="123" customWidth="1"/>
    <col min="6147" max="6147" width="25.5546875" style="123" bestFit="1" customWidth="1"/>
    <col min="6148" max="6148" width="12.77734375" style="123" bestFit="1" customWidth="1"/>
    <col min="6149" max="6149" width="8.44140625" style="123" bestFit="1" customWidth="1"/>
    <col min="6150" max="6150" width="2.44140625" style="123" customWidth="1"/>
    <col min="6151" max="6151" width="22" style="123" customWidth="1"/>
    <col min="6152" max="6152" width="9.5546875" style="123" bestFit="1" customWidth="1"/>
    <col min="6153" max="6153" width="5.77734375" style="123" customWidth="1"/>
    <col min="6154" max="6154" width="10.44140625" style="123" customWidth="1"/>
    <col min="6155" max="6155" width="3.44140625" style="123" customWidth="1"/>
    <col min="6156" max="6156" width="23.44140625" style="123" customWidth="1"/>
    <col min="6157" max="6157" width="13.5546875" style="123" bestFit="1" customWidth="1"/>
    <col min="6158" max="6158" width="25.5546875" style="123" bestFit="1" customWidth="1"/>
    <col min="6159" max="6159" width="10.5546875" style="123" customWidth="1"/>
    <col min="6160" max="6160" width="10.77734375" style="123" customWidth="1"/>
    <col min="6161" max="6161" width="10.44140625" style="123" customWidth="1"/>
    <col min="6162" max="6167" width="0" style="123" hidden="1" customWidth="1"/>
    <col min="6168" max="6168" width="11.44140625" style="123" customWidth="1"/>
    <col min="6169" max="6393" width="9.21875" style="123"/>
    <col min="6394" max="6394" width="2.44140625" style="123" customWidth="1"/>
    <col min="6395" max="6395" width="12.5546875" style="123" bestFit="1" customWidth="1"/>
    <col min="6396" max="6396" width="6" style="123" customWidth="1"/>
    <col min="6397" max="6397" width="32.77734375" style="123" customWidth="1"/>
    <col min="6398" max="6398" width="53" style="123" bestFit="1" customWidth="1"/>
    <col min="6399" max="6399" width="1.44140625" style="123" customWidth="1"/>
    <col min="6400" max="6401" width="0" style="123" hidden="1" customWidth="1"/>
    <col min="6402" max="6402" width="1.44140625" style="123" customWidth="1"/>
    <col min="6403" max="6403" width="25.5546875" style="123" bestFit="1" customWidth="1"/>
    <col min="6404" max="6404" width="12.77734375" style="123" bestFit="1" customWidth="1"/>
    <col min="6405" max="6405" width="8.44140625" style="123" bestFit="1" customWidth="1"/>
    <col min="6406" max="6406" width="2.44140625" style="123" customWidth="1"/>
    <col min="6407" max="6407" width="22" style="123" customWidth="1"/>
    <col min="6408" max="6408" width="9.5546875" style="123" bestFit="1" customWidth="1"/>
    <col min="6409" max="6409" width="5.77734375" style="123" customWidth="1"/>
    <col min="6410" max="6410" width="10.44140625" style="123" customWidth="1"/>
    <col min="6411" max="6411" width="3.44140625" style="123" customWidth="1"/>
    <col min="6412" max="6412" width="23.44140625" style="123" customWidth="1"/>
    <col min="6413" max="6413" width="13.5546875" style="123" bestFit="1" customWidth="1"/>
    <col min="6414" max="6414" width="25.5546875" style="123" bestFit="1" customWidth="1"/>
    <col min="6415" max="6415" width="10.5546875" style="123" customWidth="1"/>
    <col min="6416" max="6416" width="10.77734375" style="123" customWidth="1"/>
    <col min="6417" max="6417" width="10.44140625" style="123" customWidth="1"/>
    <col min="6418" max="6423" width="0" style="123" hidden="1" customWidth="1"/>
    <col min="6424" max="6424" width="11.44140625" style="123" customWidth="1"/>
    <col min="6425" max="6649" width="9.21875" style="123"/>
    <col min="6650" max="6650" width="2.44140625" style="123" customWidth="1"/>
    <col min="6651" max="6651" width="12.5546875" style="123" bestFit="1" customWidth="1"/>
    <col min="6652" max="6652" width="6" style="123" customWidth="1"/>
    <col min="6653" max="6653" width="32.77734375" style="123" customWidth="1"/>
    <col min="6654" max="6654" width="53" style="123" bestFit="1" customWidth="1"/>
    <col min="6655" max="6655" width="1.44140625" style="123" customWidth="1"/>
    <col min="6656" max="6657" width="0" style="123" hidden="1" customWidth="1"/>
    <col min="6658" max="6658" width="1.44140625" style="123" customWidth="1"/>
    <col min="6659" max="6659" width="25.5546875" style="123" bestFit="1" customWidth="1"/>
    <col min="6660" max="6660" width="12.77734375" style="123" bestFit="1" customWidth="1"/>
    <col min="6661" max="6661" width="8.44140625" style="123" bestFit="1" customWidth="1"/>
    <col min="6662" max="6662" width="2.44140625" style="123" customWidth="1"/>
    <col min="6663" max="6663" width="22" style="123" customWidth="1"/>
    <col min="6664" max="6664" width="9.5546875" style="123" bestFit="1" customWidth="1"/>
    <col min="6665" max="6665" width="5.77734375" style="123" customWidth="1"/>
    <col min="6666" max="6666" width="10.44140625" style="123" customWidth="1"/>
    <col min="6667" max="6667" width="3.44140625" style="123" customWidth="1"/>
    <col min="6668" max="6668" width="23.44140625" style="123" customWidth="1"/>
    <col min="6669" max="6669" width="13.5546875" style="123" bestFit="1" customWidth="1"/>
    <col min="6670" max="6670" width="25.5546875" style="123" bestFit="1" customWidth="1"/>
    <col min="6671" max="6671" width="10.5546875" style="123" customWidth="1"/>
    <col min="6672" max="6672" width="10.77734375" style="123" customWidth="1"/>
    <col min="6673" max="6673" width="10.44140625" style="123" customWidth="1"/>
    <col min="6674" max="6679" width="0" style="123" hidden="1" customWidth="1"/>
    <col min="6680" max="6680" width="11.44140625" style="123" customWidth="1"/>
    <col min="6681" max="6905" width="9.21875" style="123"/>
    <col min="6906" max="6906" width="2.44140625" style="123" customWidth="1"/>
    <col min="6907" max="6907" width="12.5546875" style="123" bestFit="1" customWidth="1"/>
    <col min="6908" max="6908" width="6" style="123" customWidth="1"/>
    <col min="6909" max="6909" width="32.77734375" style="123" customWidth="1"/>
    <col min="6910" max="6910" width="53" style="123" bestFit="1" customWidth="1"/>
    <col min="6911" max="6911" width="1.44140625" style="123" customWidth="1"/>
    <col min="6912" max="6913" width="0" style="123" hidden="1" customWidth="1"/>
    <col min="6914" max="6914" width="1.44140625" style="123" customWidth="1"/>
    <col min="6915" max="6915" width="25.5546875" style="123" bestFit="1" customWidth="1"/>
    <col min="6916" max="6916" width="12.77734375" style="123" bestFit="1" customWidth="1"/>
    <col min="6917" max="6917" width="8.44140625" style="123" bestFit="1" customWidth="1"/>
    <col min="6918" max="6918" width="2.44140625" style="123" customWidth="1"/>
    <col min="6919" max="6919" width="22" style="123" customWidth="1"/>
    <col min="6920" max="6920" width="9.5546875" style="123" bestFit="1" customWidth="1"/>
    <col min="6921" max="6921" width="5.77734375" style="123" customWidth="1"/>
    <col min="6922" max="6922" width="10.44140625" style="123" customWidth="1"/>
    <col min="6923" max="6923" width="3.44140625" style="123" customWidth="1"/>
    <col min="6924" max="6924" width="23.44140625" style="123" customWidth="1"/>
    <col min="6925" max="6925" width="13.5546875" style="123" bestFit="1" customWidth="1"/>
    <col min="6926" max="6926" width="25.5546875" style="123" bestFit="1" customWidth="1"/>
    <col min="6927" max="6927" width="10.5546875" style="123" customWidth="1"/>
    <col min="6928" max="6928" width="10.77734375" style="123" customWidth="1"/>
    <col min="6929" max="6929" width="10.44140625" style="123" customWidth="1"/>
    <col min="6930" max="6935" width="0" style="123" hidden="1" customWidth="1"/>
    <col min="6936" max="6936" width="11.44140625" style="123" customWidth="1"/>
    <col min="6937" max="7161" width="9.21875" style="123"/>
    <col min="7162" max="7162" width="2.44140625" style="123" customWidth="1"/>
    <col min="7163" max="7163" width="12.5546875" style="123" bestFit="1" customWidth="1"/>
    <col min="7164" max="7164" width="6" style="123" customWidth="1"/>
    <col min="7165" max="7165" width="32.77734375" style="123" customWidth="1"/>
    <col min="7166" max="7166" width="53" style="123" bestFit="1" customWidth="1"/>
    <col min="7167" max="7167" width="1.44140625" style="123" customWidth="1"/>
    <col min="7168" max="7169" width="0" style="123" hidden="1" customWidth="1"/>
    <col min="7170" max="7170" width="1.44140625" style="123" customWidth="1"/>
    <col min="7171" max="7171" width="25.5546875" style="123" bestFit="1" customWidth="1"/>
    <col min="7172" max="7172" width="12.77734375" style="123" bestFit="1" customWidth="1"/>
    <col min="7173" max="7173" width="8.44140625" style="123" bestFit="1" customWidth="1"/>
    <col min="7174" max="7174" width="2.44140625" style="123" customWidth="1"/>
    <col min="7175" max="7175" width="22" style="123" customWidth="1"/>
    <col min="7176" max="7176" width="9.5546875" style="123" bestFit="1" customWidth="1"/>
    <col min="7177" max="7177" width="5.77734375" style="123" customWidth="1"/>
    <col min="7178" max="7178" width="10.44140625" style="123" customWidth="1"/>
    <col min="7179" max="7179" width="3.44140625" style="123" customWidth="1"/>
    <col min="7180" max="7180" width="23.44140625" style="123" customWidth="1"/>
    <col min="7181" max="7181" width="13.5546875" style="123" bestFit="1" customWidth="1"/>
    <col min="7182" max="7182" width="25.5546875" style="123" bestFit="1" customWidth="1"/>
    <col min="7183" max="7183" width="10.5546875" style="123" customWidth="1"/>
    <col min="7184" max="7184" width="10.77734375" style="123" customWidth="1"/>
    <col min="7185" max="7185" width="10.44140625" style="123" customWidth="1"/>
    <col min="7186" max="7191" width="0" style="123" hidden="1" customWidth="1"/>
    <col min="7192" max="7192" width="11.44140625" style="123" customWidth="1"/>
    <col min="7193" max="7417" width="9.21875" style="123"/>
    <col min="7418" max="7418" width="2.44140625" style="123" customWidth="1"/>
    <col min="7419" max="7419" width="12.5546875" style="123" bestFit="1" customWidth="1"/>
    <col min="7420" max="7420" width="6" style="123" customWidth="1"/>
    <col min="7421" max="7421" width="32.77734375" style="123" customWidth="1"/>
    <col min="7422" max="7422" width="53" style="123" bestFit="1" customWidth="1"/>
    <col min="7423" max="7423" width="1.44140625" style="123" customWidth="1"/>
    <col min="7424" max="7425" width="0" style="123" hidden="1" customWidth="1"/>
    <col min="7426" max="7426" width="1.44140625" style="123" customWidth="1"/>
    <col min="7427" max="7427" width="25.5546875" style="123" bestFit="1" customWidth="1"/>
    <col min="7428" max="7428" width="12.77734375" style="123" bestFit="1" customWidth="1"/>
    <col min="7429" max="7429" width="8.44140625" style="123" bestFit="1" customWidth="1"/>
    <col min="7430" max="7430" width="2.44140625" style="123" customWidth="1"/>
    <col min="7431" max="7431" width="22" style="123" customWidth="1"/>
    <col min="7432" max="7432" width="9.5546875" style="123" bestFit="1" customWidth="1"/>
    <col min="7433" max="7433" width="5.77734375" style="123" customWidth="1"/>
    <col min="7434" max="7434" width="10.44140625" style="123" customWidth="1"/>
    <col min="7435" max="7435" width="3.44140625" style="123" customWidth="1"/>
    <col min="7436" max="7436" width="23.44140625" style="123" customWidth="1"/>
    <col min="7437" max="7437" width="13.5546875" style="123" bestFit="1" customWidth="1"/>
    <col min="7438" max="7438" width="25.5546875" style="123" bestFit="1" customWidth="1"/>
    <col min="7439" max="7439" width="10.5546875" style="123" customWidth="1"/>
    <col min="7440" max="7440" width="10.77734375" style="123" customWidth="1"/>
    <col min="7441" max="7441" width="10.44140625" style="123" customWidth="1"/>
    <col min="7442" max="7447" width="0" style="123" hidden="1" customWidth="1"/>
    <col min="7448" max="7448" width="11.44140625" style="123" customWidth="1"/>
    <col min="7449" max="7673" width="9.21875" style="123"/>
    <col min="7674" max="7674" width="2.44140625" style="123" customWidth="1"/>
    <col min="7675" max="7675" width="12.5546875" style="123" bestFit="1" customWidth="1"/>
    <col min="7676" max="7676" width="6" style="123" customWidth="1"/>
    <col min="7677" max="7677" width="32.77734375" style="123" customWidth="1"/>
    <col min="7678" max="7678" width="53" style="123" bestFit="1" customWidth="1"/>
    <col min="7679" max="7679" width="1.44140625" style="123" customWidth="1"/>
    <col min="7680" max="7681" width="0" style="123" hidden="1" customWidth="1"/>
    <col min="7682" max="7682" width="1.44140625" style="123" customWidth="1"/>
    <col min="7683" max="7683" width="25.5546875" style="123" bestFit="1" customWidth="1"/>
    <col min="7684" max="7684" width="12.77734375" style="123" bestFit="1" customWidth="1"/>
    <col min="7685" max="7685" width="8.44140625" style="123" bestFit="1" customWidth="1"/>
    <col min="7686" max="7686" width="2.44140625" style="123" customWidth="1"/>
    <col min="7687" max="7687" width="22" style="123" customWidth="1"/>
    <col min="7688" max="7688" width="9.5546875" style="123" bestFit="1" customWidth="1"/>
    <col min="7689" max="7689" width="5.77734375" style="123" customWidth="1"/>
    <col min="7690" max="7690" width="10.44140625" style="123" customWidth="1"/>
    <col min="7691" max="7691" width="3.44140625" style="123" customWidth="1"/>
    <col min="7692" max="7692" width="23.44140625" style="123" customWidth="1"/>
    <col min="7693" max="7693" width="13.5546875" style="123" bestFit="1" customWidth="1"/>
    <col min="7694" max="7694" width="25.5546875" style="123" bestFit="1" customWidth="1"/>
    <col min="7695" max="7695" width="10.5546875" style="123" customWidth="1"/>
    <col min="7696" max="7696" width="10.77734375" style="123" customWidth="1"/>
    <col min="7697" max="7697" width="10.44140625" style="123" customWidth="1"/>
    <col min="7698" max="7703" width="0" style="123" hidden="1" customWidth="1"/>
    <col min="7704" max="7704" width="11.44140625" style="123" customWidth="1"/>
    <col min="7705" max="7929" width="9.21875" style="123"/>
    <col min="7930" max="7930" width="2.44140625" style="123" customWidth="1"/>
    <col min="7931" max="7931" width="12.5546875" style="123" bestFit="1" customWidth="1"/>
    <col min="7932" max="7932" width="6" style="123" customWidth="1"/>
    <col min="7933" max="7933" width="32.77734375" style="123" customWidth="1"/>
    <col min="7934" max="7934" width="53" style="123" bestFit="1" customWidth="1"/>
    <col min="7935" max="7935" width="1.44140625" style="123" customWidth="1"/>
    <col min="7936" max="7937" width="0" style="123" hidden="1" customWidth="1"/>
    <col min="7938" max="7938" width="1.44140625" style="123" customWidth="1"/>
    <col min="7939" max="7939" width="25.5546875" style="123" bestFit="1" customWidth="1"/>
    <col min="7940" max="7940" width="12.77734375" style="123" bestFit="1" customWidth="1"/>
    <col min="7941" max="7941" width="8.44140625" style="123" bestFit="1" customWidth="1"/>
    <col min="7942" max="7942" width="2.44140625" style="123" customWidth="1"/>
    <col min="7943" max="7943" width="22" style="123" customWidth="1"/>
    <col min="7944" max="7944" width="9.5546875" style="123" bestFit="1" customWidth="1"/>
    <col min="7945" max="7945" width="5.77734375" style="123" customWidth="1"/>
    <col min="7946" max="7946" width="10.44140625" style="123" customWidth="1"/>
    <col min="7947" max="7947" width="3.44140625" style="123" customWidth="1"/>
    <col min="7948" max="7948" width="23.44140625" style="123" customWidth="1"/>
    <col min="7949" max="7949" width="13.5546875" style="123" bestFit="1" customWidth="1"/>
    <col min="7950" max="7950" width="25.5546875" style="123" bestFit="1" customWidth="1"/>
    <col min="7951" max="7951" width="10.5546875" style="123" customWidth="1"/>
    <col min="7952" max="7952" width="10.77734375" style="123" customWidth="1"/>
    <col min="7953" max="7953" width="10.44140625" style="123" customWidth="1"/>
    <col min="7954" max="7959" width="0" style="123" hidden="1" customWidth="1"/>
    <col min="7960" max="7960" width="11.44140625" style="123" customWidth="1"/>
    <col min="7961" max="8185" width="9.21875" style="123"/>
    <col min="8186" max="8186" width="2.44140625" style="123" customWidth="1"/>
    <col min="8187" max="8187" width="12.5546875" style="123" bestFit="1" customWidth="1"/>
    <col min="8188" max="8188" width="6" style="123" customWidth="1"/>
    <col min="8189" max="8189" width="32.77734375" style="123" customWidth="1"/>
    <col min="8190" max="8190" width="53" style="123" bestFit="1" customWidth="1"/>
    <col min="8191" max="8191" width="1.44140625" style="123" customWidth="1"/>
    <col min="8192" max="8193" width="0" style="123" hidden="1" customWidth="1"/>
    <col min="8194" max="8194" width="1.44140625" style="123" customWidth="1"/>
    <col min="8195" max="8195" width="25.5546875" style="123" bestFit="1" customWidth="1"/>
    <col min="8196" max="8196" width="12.77734375" style="123" bestFit="1" customWidth="1"/>
    <col min="8197" max="8197" width="8.44140625" style="123" bestFit="1" customWidth="1"/>
    <col min="8198" max="8198" width="2.44140625" style="123" customWidth="1"/>
    <col min="8199" max="8199" width="22" style="123" customWidth="1"/>
    <col min="8200" max="8200" width="9.5546875" style="123" bestFit="1" customWidth="1"/>
    <col min="8201" max="8201" width="5.77734375" style="123" customWidth="1"/>
    <col min="8202" max="8202" width="10.44140625" style="123" customWidth="1"/>
    <col min="8203" max="8203" width="3.44140625" style="123" customWidth="1"/>
    <col min="8204" max="8204" width="23.44140625" style="123" customWidth="1"/>
    <col min="8205" max="8205" width="13.5546875" style="123" bestFit="1" customWidth="1"/>
    <col min="8206" max="8206" width="25.5546875" style="123" bestFit="1" customWidth="1"/>
    <col min="8207" max="8207" width="10.5546875" style="123" customWidth="1"/>
    <col min="8208" max="8208" width="10.77734375" style="123" customWidth="1"/>
    <col min="8209" max="8209" width="10.44140625" style="123" customWidth="1"/>
    <col min="8210" max="8215" width="0" style="123" hidden="1" customWidth="1"/>
    <col min="8216" max="8216" width="11.44140625" style="123" customWidth="1"/>
    <col min="8217" max="8441" width="9.21875" style="123"/>
    <col min="8442" max="8442" width="2.44140625" style="123" customWidth="1"/>
    <col min="8443" max="8443" width="12.5546875" style="123" bestFit="1" customWidth="1"/>
    <col min="8444" max="8444" width="6" style="123" customWidth="1"/>
    <col min="8445" max="8445" width="32.77734375" style="123" customWidth="1"/>
    <col min="8446" max="8446" width="53" style="123" bestFit="1" customWidth="1"/>
    <col min="8447" max="8447" width="1.44140625" style="123" customWidth="1"/>
    <col min="8448" max="8449" width="0" style="123" hidden="1" customWidth="1"/>
    <col min="8450" max="8450" width="1.44140625" style="123" customWidth="1"/>
    <col min="8451" max="8451" width="25.5546875" style="123" bestFit="1" customWidth="1"/>
    <col min="8452" max="8452" width="12.77734375" style="123" bestFit="1" customWidth="1"/>
    <col min="8453" max="8453" width="8.44140625" style="123" bestFit="1" customWidth="1"/>
    <col min="8454" max="8454" width="2.44140625" style="123" customWidth="1"/>
    <col min="8455" max="8455" width="22" style="123" customWidth="1"/>
    <col min="8456" max="8456" width="9.5546875" style="123" bestFit="1" customWidth="1"/>
    <col min="8457" max="8457" width="5.77734375" style="123" customWidth="1"/>
    <col min="8458" max="8458" width="10.44140625" style="123" customWidth="1"/>
    <col min="8459" max="8459" width="3.44140625" style="123" customWidth="1"/>
    <col min="8460" max="8460" width="23.44140625" style="123" customWidth="1"/>
    <col min="8461" max="8461" width="13.5546875" style="123" bestFit="1" customWidth="1"/>
    <col min="8462" max="8462" width="25.5546875" style="123" bestFit="1" customWidth="1"/>
    <col min="8463" max="8463" width="10.5546875" style="123" customWidth="1"/>
    <col min="8464" max="8464" width="10.77734375" style="123" customWidth="1"/>
    <col min="8465" max="8465" width="10.44140625" style="123" customWidth="1"/>
    <col min="8466" max="8471" width="0" style="123" hidden="1" customWidth="1"/>
    <col min="8472" max="8472" width="11.44140625" style="123" customWidth="1"/>
    <col min="8473" max="8697" width="9.21875" style="123"/>
    <col min="8698" max="8698" width="2.44140625" style="123" customWidth="1"/>
    <col min="8699" max="8699" width="12.5546875" style="123" bestFit="1" customWidth="1"/>
    <col min="8700" max="8700" width="6" style="123" customWidth="1"/>
    <col min="8701" max="8701" width="32.77734375" style="123" customWidth="1"/>
    <col min="8702" max="8702" width="53" style="123" bestFit="1" customWidth="1"/>
    <col min="8703" max="8703" width="1.44140625" style="123" customWidth="1"/>
    <col min="8704" max="8705" width="0" style="123" hidden="1" customWidth="1"/>
    <col min="8706" max="8706" width="1.44140625" style="123" customWidth="1"/>
    <col min="8707" max="8707" width="25.5546875" style="123" bestFit="1" customWidth="1"/>
    <col min="8708" max="8708" width="12.77734375" style="123" bestFit="1" customWidth="1"/>
    <col min="8709" max="8709" width="8.44140625" style="123" bestFit="1" customWidth="1"/>
    <col min="8710" max="8710" width="2.44140625" style="123" customWidth="1"/>
    <col min="8711" max="8711" width="22" style="123" customWidth="1"/>
    <col min="8712" max="8712" width="9.5546875" style="123" bestFit="1" customWidth="1"/>
    <col min="8713" max="8713" width="5.77734375" style="123" customWidth="1"/>
    <col min="8714" max="8714" width="10.44140625" style="123" customWidth="1"/>
    <col min="8715" max="8715" width="3.44140625" style="123" customWidth="1"/>
    <col min="8716" max="8716" width="23.44140625" style="123" customWidth="1"/>
    <col min="8717" max="8717" width="13.5546875" style="123" bestFit="1" customWidth="1"/>
    <col min="8718" max="8718" width="25.5546875" style="123" bestFit="1" customWidth="1"/>
    <col min="8719" max="8719" width="10.5546875" style="123" customWidth="1"/>
    <col min="8720" max="8720" width="10.77734375" style="123" customWidth="1"/>
    <col min="8721" max="8721" width="10.44140625" style="123" customWidth="1"/>
    <col min="8722" max="8727" width="0" style="123" hidden="1" customWidth="1"/>
    <col min="8728" max="8728" width="11.44140625" style="123" customWidth="1"/>
    <col min="8729" max="8953" width="9.21875" style="123"/>
    <col min="8954" max="8954" width="2.44140625" style="123" customWidth="1"/>
    <col min="8955" max="8955" width="12.5546875" style="123" bestFit="1" customWidth="1"/>
    <col min="8956" max="8956" width="6" style="123" customWidth="1"/>
    <col min="8957" max="8957" width="32.77734375" style="123" customWidth="1"/>
    <col min="8958" max="8958" width="53" style="123" bestFit="1" customWidth="1"/>
    <col min="8959" max="8959" width="1.44140625" style="123" customWidth="1"/>
    <col min="8960" max="8961" width="0" style="123" hidden="1" customWidth="1"/>
    <col min="8962" max="8962" width="1.44140625" style="123" customWidth="1"/>
    <col min="8963" max="8963" width="25.5546875" style="123" bestFit="1" customWidth="1"/>
    <col min="8964" max="8964" width="12.77734375" style="123" bestFit="1" customWidth="1"/>
    <col min="8965" max="8965" width="8.44140625" style="123" bestFit="1" customWidth="1"/>
    <col min="8966" max="8966" width="2.44140625" style="123" customWidth="1"/>
    <col min="8967" max="8967" width="22" style="123" customWidth="1"/>
    <col min="8968" max="8968" width="9.5546875" style="123" bestFit="1" customWidth="1"/>
    <col min="8969" max="8969" width="5.77734375" style="123" customWidth="1"/>
    <col min="8970" max="8970" width="10.44140625" style="123" customWidth="1"/>
    <col min="8971" max="8971" width="3.44140625" style="123" customWidth="1"/>
    <col min="8972" max="8972" width="23.44140625" style="123" customWidth="1"/>
    <col min="8973" max="8973" width="13.5546875" style="123" bestFit="1" customWidth="1"/>
    <col min="8974" max="8974" width="25.5546875" style="123" bestFit="1" customWidth="1"/>
    <col min="8975" max="8975" width="10.5546875" style="123" customWidth="1"/>
    <col min="8976" max="8976" width="10.77734375" style="123" customWidth="1"/>
    <col min="8977" max="8977" width="10.44140625" style="123" customWidth="1"/>
    <col min="8978" max="8983" width="0" style="123" hidden="1" customWidth="1"/>
    <col min="8984" max="8984" width="11.44140625" style="123" customWidth="1"/>
    <col min="8985" max="9209" width="9.21875" style="123"/>
    <col min="9210" max="9210" width="2.44140625" style="123" customWidth="1"/>
    <col min="9211" max="9211" width="12.5546875" style="123" bestFit="1" customWidth="1"/>
    <col min="9212" max="9212" width="6" style="123" customWidth="1"/>
    <col min="9213" max="9213" width="32.77734375" style="123" customWidth="1"/>
    <col min="9214" max="9214" width="53" style="123" bestFit="1" customWidth="1"/>
    <col min="9215" max="9215" width="1.44140625" style="123" customWidth="1"/>
    <col min="9216" max="9217" width="0" style="123" hidden="1" customWidth="1"/>
    <col min="9218" max="9218" width="1.44140625" style="123" customWidth="1"/>
    <col min="9219" max="9219" width="25.5546875" style="123" bestFit="1" customWidth="1"/>
    <col min="9220" max="9220" width="12.77734375" style="123" bestFit="1" customWidth="1"/>
    <col min="9221" max="9221" width="8.44140625" style="123" bestFit="1" customWidth="1"/>
    <col min="9222" max="9222" width="2.44140625" style="123" customWidth="1"/>
    <col min="9223" max="9223" width="22" style="123" customWidth="1"/>
    <col min="9224" max="9224" width="9.5546875" style="123" bestFit="1" customWidth="1"/>
    <col min="9225" max="9225" width="5.77734375" style="123" customWidth="1"/>
    <col min="9226" max="9226" width="10.44140625" style="123" customWidth="1"/>
    <col min="9227" max="9227" width="3.44140625" style="123" customWidth="1"/>
    <col min="9228" max="9228" width="23.44140625" style="123" customWidth="1"/>
    <col min="9229" max="9229" width="13.5546875" style="123" bestFit="1" customWidth="1"/>
    <col min="9230" max="9230" width="25.5546875" style="123" bestFit="1" customWidth="1"/>
    <col min="9231" max="9231" width="10.5546875" style="123" customWidth="1"/>
    <col min="9232" max="9232" width="10.77734375" style="123" customWidth="1"/>
    <col min="9233" max="9233" width="10.44140625" style="123" customWidth="1"/>
    <col min="9234" max="9239" width="0" style="123" hidden="1" customWidth="1"/>
    <col min="9240" max="9240" width="11.44140625" style="123" customWidth="1"/>
    <col min="9241" max="9465" width="9.21875" style="123"/>
    <col min="9466" max="9466" width="2.44140625" style="123" customWidth="1"/>
    <col min="9467" max="9467" width="12.5546875" style="123" bestFit="1" customWidth="1"/>
    <col min="9468" max="9468" width="6" style="123" customWidth="1"/>
    <col min="9469" max="9469" width="32.77734375" style="123" customWidth="1"/>
    <col min="9470" max="9470" width="53" style="123" bestFit="1" customWidth="1"/>
    <col min="9471" max="9471" width="1.44140625" style="123" customWidth="1"/>
    <col min="9472" max="9473" width="0" style="123" hidden="1" customWidth="1"/>
    <col min="9474" max="9474" width="1.44140625" style="123" customWidth="1"/>
    <col min="9475" max="9475" width="25.5546875" style="123" bestFit="1" customWidth="1"/>
    <col min="9476" max="9476" width="12.77734375" style="123" bestFit="1" customWidth="1"/>
    <col min="9477" max="9477" width="8.44140625" style="123" bestFit="1" customWidth="1"/>
    <col min="9478" max="9478" width="2.44140625" style="123" customWidth="1"/>
    <col min="9479" max="9479" width="22" style="123" customWidth="1"/>
    <col min="9480" max="9480" width="9.5546875" style="123" bestFit="1" customWidth="1"/>
    <col min="9481" max="9481" width="5.77734375" style="123" customWidth="1"/>
    <col min="9482" max="9482" width="10.44140625" style="123" customWidth="1"/>
    <col min="9483" max="9483" width="3.44140625" style="123" customWidth="1"/>
    <col min="9484" max="9484" width="23.44140625" style="123" customWidth="1"/>
    <col min="9485" max="9485" width="13.5546875" style="123" bestFit="1" customWidth="1"/>
    <col min="9486" max="9486" width="25.5546875" style="123" bestFit="1" customWidth="1"/>
    <col min="9487" max="9487" width="10.5546875" style="123" customWidth="1"/>
    <col min="9488" max="9488" width="10.77734375" style="123" customWidth="1"/>
    <col min="9489" max="9489" width="10.44140625" style="123" customWidth="1"/>
    <col min="9490" max="9495" width="0" style="123" hidden="1" customWidth="1"/>
    <col min="9496" max="9496" width="11.44140625" style="123" customWidth="1"/>
    <col min="9497" max="9721" width="9.21875" style="123"/>
    <col min="9722" max="9722" width="2.44140625" style="123" customWidth="1"/>
    <col min="9723" max="9723" width="12.5546875" style="123" bestFit="1" customWidth="1"/>
    <col min="9724" max="9724" width="6" style="123" customWidth="1"/>
    <col min="9725" max="9725" width="32.77734375" style="123" customWidth="1"/>
    <col min="9726" max="9726" width="53" style="123" bestFit="1" customWidth="1"/>
    <col min="9727" max="9727" width="1.44140625" style="123" customWidth="1"/>
    <col min="9728" max="9729" width="0" style="123" hidden="1" customWidth="1"/>
    <col min="9730" max="9730" width="1.44140625" style="123" customWidth="1"/>
    <col min="9731" max="9731" width="25.5546875" style="123" bestFit="1" customWidth="1"/>
    <col min="9732" max="9732" width="12.77734375" style="123" bestFit="1" customWidth="1"/>
    <col min="9733" max="9733" width="8.44140625" style="123" bestFit="1" customWidth="1"/>
    <col min="9734" max="9734" width="2.44140625" style="123" customWidth="1"/>
    <col min="9735" max="9735" width="22" style="123" customWidth="1"/>
    <col min="9736" max="9736" width="9.5546875" style="123" bestFit="1" customWidth="1"/>
    <col min="9737" max="9737" width="5.77734375" style="123" customWidth="1"/>
    <col min="9738" max="9738" width="10.44140625" style="123" customWidth="1"/>
    <col min="9739" max="9739" width="3.44140625" style="123" customWidth="1"/>
    <col min="9740" max="9740" width="23.44140625" style="123" customWidth="1"/>
    <col min="9741" max="9741" width="13.5546875" style="123" bestFit="1" customWidth="1"/>
    <col min="9742" max="9742" width="25.5546875" style="123" bestFit="1" customWidth="1"/>
    <col min="9743" max="9743" width="10.5546875" style="123" customWidth="1"/>
    <col min="9744" max="9744" width="10.77734375" style="123" customWidth="1"/>
    <col min="9745" max="9745" width="10.44140625" style="123" customWidth="1"/>
    <col min="9746" max="9751" width="0" style="123" hidden="1" customWidth="1"/>
    <col min="9752" max="9752" width="11.44140625" style="123" customWidth="1"/>
    <col min="9753" max="9977" width="9.21875" style="123"/>
    <col min="9978" max="9978" width="2.44140625" style="123" customWidth="1"/>
    <col min="9979" max="9979" width="12.5546875" style="123" bestFit="1" customWidth="1"/>
    <col min="9980" max="9980" width="6" style="123" customWidth="1"/>
    <col min="9981" max="9981" width="32.77734375" style="123" customWidth="1"/>
    <col min="9982" max="9982" width="53" style="123" bestFit="1" customWidth="1"/>
    <col min="9983" max="9983" width="1.44140625" style="123" customWidth="1"/>
    <col min="9984" max="9985" width="0" style="123" hidden="1" customWidth="1"/>
    <col min="9986" max="9986" width="1.44140625" style="123" customWidth="1"/>
    <col min="9987" max="9987" width="25.5546875" style="123" bestFit="1" customWidth="1"/>
    <col min="9988" max="9988" width="12.77734375" style="123" bestFit="1" customWidth="1"/>
    <col min="9989" max="9989" width="8.44140625" style="123" bestFit="1" customWidth="1"/>
    <col min="9990" max="9990" width="2.44140625" style="123" customWidth="1"/>
    <col min="9991" max="9991" width="22" style="123" customWidth="1"/>
    <col min="9992" max="9992" width="9.5546875" style="123" bestFit="1" customWidth="1"/>
    <col min="9993" max="9993" width="5.77734375" style="123" customWidth="1"/>
    <col min="9994" max="9994" width="10.44140625" style="123" customWidth="1"/>
    <col min="9995" max="9995" width="3.44140625" style="123" customWidth="1"/>
    <col min="9996" max="9996" width="23.44140625" style="123" customWidth="1"/>
    <col min="9997" max="9997" width="13.5546875" style="123" bestFit="1" customWidth="1"/>
    <col min="9998" max="9998" width="25.5546875" style="123" bestFit="1" customWidth="1"/>
    <col min="9999" max="9999" width="10.5546875" style="123" customWidth="1"/>
    <col min="10000" max="10000" width="10.77734375" style="123" customWidth="1"/>
    <col min="10001" max="10001" width="10.44140625" style="123" customWidth="1"/>
    <col min="10002" max="10007" width="0" style="123" hidden="1" customWidth="1"/>
    <col min="10008" max="10008" width="11.44140625" style="123" customWidth="1"/>
    <col min="10009" max="10233" width="9.21875" style="123"/>
    <col min="10234" max="10234" width="2.44140625" style="123" customWidth="1"/>
    <col min="10235" max="10235" width="12.5546875" style="123" bestFit="1" customWidth="1"/>
    <col min="10236" max="10236" width="6" style="123" customWidth="1"/>
    <col min="10237" max="10237" width="32.77734375" style="123" customWidth="1"/>
    <col min="10238" max="10238" width="53" style="123" bestFit="1" customWidth="1"/>
    <col min="10239" max="10239" width="1.44140625" style="123" customWidth="1"/>
    <col min="10240" max="10241" width="0" style="123" hidden="1" customWidth="1"/>
    <col min="10242" max="10242" width="1.44140625" style="123" customWidth="1"/>
    <col min="10243" max="10243" width="25.5546875" style="123" bestFit="1" customWidth="1"/>
    <col min="10244" max="10244" width="12.77734375" style="123" bestFit="1" customWidth="1"/>
    <col min="10245" max="10245" width="8.44140625" style="123" bestFit="1" customWidth="1"/>
    <col min="10246" max="10246" width="2.44140625" style="123" customWidth="1"/>
    <col min="10247" max="10247" width="22" style="123" customWidth="1"/>
    <col min="10248" max="10248" width="9.5546875" style="123" bestFit="1" customWidth="1"/>
    <col min="10249" max="10249" width="5.77734375" style="123" customWidth="1"/>
    <col min="10250" max="10250" width="10.44140625" style="123" customWidth="1"/>
    <col min="10251" max="10251" width="3.44140625" style="123" customWidth="1"/>
    <col min="10252" max="10252" width="23.44140625" style="123" customWidth="1"/>
    <col min="10253" max="10253" width="13.5546875" style="123" bestFit="1" customWidth="1"/>
    <col min="10254" max="10254" width="25.5546875" style="123" bestFit="1" customWidth="1"/>
    <col min="10255" max="10255" width="10.5546875" style="123" customWidth="1"/>
    <col min="10256" max="10256" width="10.77734375" style="123" customWidth="1"/>
    <col min="10257" max="10257" width="10.44140625" style="123" customWidth="1"/>
    <col min="10258" max="10263" width="0" style="123" hidden="1" customWidth="1"/>
    <col min="10264" max="10264" width="11.44140625" style="123" customWidth="1"/>
    <col min="10265" max="10489" width="9.21875" style="123"/>
    <col min="10490" max="10490" width="2.44140625" style="123" customWidth="1"/>
    <col min="10491" max="10491" width="12.5546875" style="123" bestFit="1" customWidth="1"/>
    <col min="10492" max="10492" width="6" style="123" customWidth="1"/>
    <col min="10493" max="10493" width="32.77734375" style="123" customWidth="1"/>
    <col min="10494" max="10494" width="53" style="123" bestFit="1" customWidth="1"/>
    <col min="10495" max="10495" width="1.44140625" style="123" customWidth="1"/>
    <col min="10496" max="10497" width="0" style="123" hidden="1" customWidth="1"/>
    <col min="10498" max="10498" width="1.44140625" style="123" customWidth="1"/>
    <col min="10499" max="10499" width="25.5546875" style="123" bestFit="1" customWidth="1"/>
    <col min="10500" max="10500" width="12.77734375" style="123" bestFit="1" customWidth="1"/>
    <col min="10501" max="10501" width="8.44140625" style="123" bestFit="1" customWidth="1"/>
    <col min="10502" max="10502" width="2.44140625" style="123" customWidth="1"/>
    <col min="10503" max="10503" width="22" style="123" customWidth="1"/>
    <col min="10504" max="10504" width="9.5546875" style="123" bestFit="1" customWidth="1"/>
    <col min="10505" max="10505" width="5.77734375" style="123" customWidth="1"/>
    <col min="10506" max="10506" width="10.44140625" style="123" customWidth="1"/>
    <col min="10507" max="10507" width="3.44140625" style="123" customWidth="1"/>
    <col min="10508" max="10508" width="23.44140625" style="123" customWidth="1"/>
    <col min="10509" max="10509" width="13.5546875" style="123" bestFit="1" customWidth="1"/>
    <col min="10510" max="10510" width="25.5546875" style="123" bestFit="1" customWidth="1"/>
    <col min="10511" max="10511" width="10.5546875" style="123" customWidth="1"/>
    <col min="10512" max="10512" width="10.77734375" style="123" customWidth="1"/>
    <col min="10513" max="10513" width="10.44140625" style="123" customWidth="1"/>
    <col min="10514" max="10519" width="0" style="123" hidden="1" customWidth="1"/>
    <col min="10520" max="10520" width="11.44140625" style="123" customWidth="1"/>
    <col min="10521" max="10745" width="9.21875" style="123"/>
    <col min="10746" max="10746" width="2.44140625" style="123" customWidth="1"/>
    <col min="10747" max="10747" width="12.5546875" style="123" bestFit="1" customWidth="1"/>
    <col min="10748" max="10748" width="6" style="123" customWidth="1"/>
    <col min="10749" max="10749" width="32.77734375" style="123" customWidth="1"/>
    <col min="10750" max="10750" width="53" style="123" bestFit="1" customWidth="1"/>
    <col min="10751" max="10751" width="1.44140625" style="123" customWidth="1"/>
    <col min="10752" max="10753" width="0" style="123" hidden="1" customWidth="1"/>
    <col min="10754" max="10754" width="1.44140625" style="123" customWidth="1"/>
    <col min="10755" max="10755" width="25.5546875" style="123" bestFit="1" customWidth="1"/>
    <col min="10756" max="10756" width="12.77734375" style="123" bestFit="1" customWidth="1"/>
    <col min="10757" max="10757" width="8.44140625" style="123" bestFit="1" customWidth="1"/>
    <col min="10758" max="10758" width="2.44140625" style="123" customWidth="1"/>
    <col min="10759" max="10759" width="22" style="123" customWidth="1"/>
    <col min="10760" max="10760" width="9.5546875" style="123" bestFit="1" customWidth="1"/>
    <col min="10761" max="10761" width="5.77734375" style="123" customWidth="1"/>
    <col min="10762" max="10762" width="10.44140625" style="123" customWidth="1"/>
    <col min="10763" max="10763" width="3.44140625" style="123" customWidth="1"/>
    <col min="10764" max="10764" width="23.44140625" style="123" customWidth="1"/>
    <col min="10765" max="10765" width="13.5546875" style="123" bestFit="1" customWidth="1"/>
    <col min="10766" max="10766" width="25.5546875" style="123" bestFit="1" customWidth="1"/>
    <col min="10767" max="10767" width="10.5546875" style="123" customWidth="1"/>
    <col min="10768" max="10768" width="10.77734375" style="123" customWidth="1"/>
    <col min="10769" max="10769" width="10.44140625" style="123" customWidth="1"/>
    <col min="10770" max="10775" width="0" style="123" hidden="1" customWidth="1"/>
    <col min="10776" max="10776" width="11.44140625" style="123" customWidth="1"/>
    <col min="10777" max="11001" width="9.21875" style="123"/>
    <col min="11002" max="11002" width="2.44140625" style="123" customWidth="1"/>
    <col min="11003" max="11003" width="12.5546875" style="123" bestFit="1" customWidth="1"/>
    <col min="11004" max="11004" width="6" style="123" customWidth="1"/>
    <col min="11005" max="11005" width="32.77734375" style="123" customWidth="1"/>
    <col min="11006" max="11006" width="53" style="123" bestFit="1" customWidth="1"/>
    <col min="11007" max="11007" width="1.44140625" style="123" customWidth="1"/>
    <col min="11008" max="11009" width="0" style="123" hidden="1" customWidth="1"/>
    <col min="11010" max="11010" width="1.44140625" style="123" customWidth="1"/>
    <col min="11011" max="11011" width="25.5546875" style="123" bestFit="1" customWidth="1"/>
    <col min="11012" max="11012" width="12.77734375" style="123" bestFit="1" customWidth="1"/>
    <col min="11013" max="11013" width="8.44140625" style="123" bestFit="1" customWidth="1"/>
    <col min="11014" max="11014" width="2.44140625" style="123" customWidth="1"/>
    <col min="11015" max="11015" width="22" style="123" customWidth="1"/>
    <col min="11016" max="11016" width="9.5546875" style="123" bestFit="1" customWidth="1"/>
    <col min="11017" max="11017" width="5.77734375" style="123" customWidth="1"/>
    <col min="11018" max="11018" width="10.44140625" style="123" customWidth="1"/>
    <col min="11019" max="11019" width="3.44140625" style="123" customWidth="1"/>
    <col min="11020" max="11020" width="23.44140625" style="123" customWidth="1"/>
    <col min="11021" max="11021" width="13.5546875" style="123" bestFit="1" customWidth="1"/>
    <col min="11022" max="11022" width="25.5546875" style="123" bestFit="1" customWidth="1"/>
    <col min="11023" max="11023" width="10.5546875" style="123" customWidth="1"/>
    <col min="11024" max="11024" width="10.77734375" style="123" customWidth="1"/>
    <col min="11025" max="11025" width="10.44140625" style="123" customWidth="1"/>
    <col min="11026" max="11031" width="0" style="123" hidden="1" customWidth="1"/>
    <col min="11032" max="11032" width="11.44140625" style="123" customWidth="1"/>
    <col min="11033" max="11257" width="9.21875" style="123"/>
    <col min="11258" max="11258" width="2.44140625" style="123" customWidth="1"/>
    <col min="11259" max="11259" width="12.5546875" style="123" bestFit="1" customWidth="1"/>
    <col min="11260" max="11260" width="6" style="123" customWidth="1"/>
    <col min="11261" max="11261" width="32.77734375" style="123" customWidth="1"/>
    <col min="11262" max="11262" width="53" style="123" bestFit="1" customWidth="1"/>
    <col min="11263" max="11263" width="1.44140625" style="123" customWidth="1"/>
    <col min="11264" max="11265" width="0" style="123" hidden="1" customWidth="1"/>
    <col min="11266" max="11266" width="1.44140625" style="123" customWidth="1"/>
    <col min="11267" max="11267" width="25.5546875" style="123" bestFit="1" customWidth="1"/>
    <col min="11268" max="11268" width="12.77734375" style="123" bestFit="1" customWidth="1"/>
    <col min="11269" max="11269" width="8.44140625" style="123" bestFit="1" customWidth="1"/>
    <col min="11270" max="11270" width="2.44140625" style="123" customWidth="1"/>
    <col min="11271" max="11271" width="22" style="123" customWidth="1"/>
    <col min="11272" max="11272" width="9.5546875" style="123" bestFit="1" customWidth="1"/>
    <col min="11273" max="11273" width="5.77734375" style="123" customWidth="1"/>
    <col min="11274" max="11274" width="10.44140625" style="123" customWidth="1"/>
    <col min="11275" max="11275" width="3.44140625" style="123" customWidth="1"/>
    <col min="11276" max="11276" width="23.44140625" style="123" customWidth="1"/>
    <col min="11277" max="11277" width="13.5546875" style="123" bestFit="1" customWidth="1"/>
    <col min="11278" max="11278" width="25.5546875" style="123" bestFit="1" customWidth="1"/>
    <col min="11279" max="11279" width="10.5546875" style="123" customWidth="1"/>
    <col min="11280" max="11280" width="10.77734375" style="123" customWidth="1"/>
    <col min="11281" max="11281" width="10.44140625" style="123" customWidth="1"/>
    <col min="11282" max="11287" width="0" style="123" hidden="1" customWidth="1"/>
    <col min="11288" max="11288" width="11.44140625" style="123" customWidth="1"/>
    <col min="11289" max="11513" width="9.21875" style="123"/>
    <col min="11514" max="11514" width="2.44140625" style="123" customWidth="1"/>
    <col min="11515" max="11515" width="12.5546875" style="123" bestFit="1" customWidth="1"/>
    <col min="11516" max="11516" width="6" style="123" customWidth="1"/>
    <col min="11517" max="11517" width="32.77734375" style="123" customWidth="1"/>
    <col min="11518" max="11518" width="53" style="123" bestFit="1" customWidth="1"/>
    <col min="11519" max="11519" width="1.44140625" style="123" customWidth="1"/>
    <col min="11520" max="11521" width="0" style="123" hidden="1" customWidth="1"/>
    <col min="11522" max="11522" width="1.44140625" style="123" customWidth="1"/>
    <col min="11523" max="11523" width="25.5546875" style="123" bestFit="1" customWidth="1"/>
    <col min="11524" max="11524" width="12.77734375" style="123" bestFit="1" customWidth="1"/>
    <col min="11525" max="11525" width="8.44140625" style="123" bestFit="1" customWidth="1"/>
    <col min="11526" max="11526" width="2.44140625" style="123" customWidth="1"/>
    <col min="11527" max="11527" width="22" style="123" customWidth="1"/>
    <col min="11528" max="11528" width="9.5546875" style="123" bestFit="1" customWidth="1"/>
    <col min="11529" max="11529" width="5.77734375" style="123" customWidth="1"/>
    <col min="11530" max="11530" width="10.44140625" style="123" customWidth="1"/>
    <col min="11531" max="11531" width="3.44140625" style="123" customWidth="1"/>
    <col min="11532" max="11532" width="23.44140625" style="123" customWidth="1"/>
    <col min="11533" max="11533" width="13.5546875" style="123" bestFit="1" customWidth="1"/>
    <col min="11534" max="11534" width="25.5546875" style="123" bestFit="1" customWidth="1"/>
    <col min="11535" max="11535" width="10.5546875" style="123" customWidth="1"/>
    <col min="11536" max="11536" width="10.77734375" style="123" customWidth="1"/>
    <col min="11537" max="11537" width="10.44140625" style="123" customWidth="1"/>
    <col min="11538" max="11543" width="0" style="123" hidden="1" customWidth="1"/>
    <col min="11544" max="11544" width="11.44140625" style="123" customWidth="1"/>
    <col min="11545" max="11769" width="9.21875" style="123"/>
    <col min="11770" max="11770" width="2.44140625" style="123" customWidth="1"/>
    <col min="11771" max="11771" width="12.5546875" style="123" bestFit="1" customWidth="1"/>
    <col min="11772" max="11772" width="6" style="123" customWidth="1"/>
    <col min="11773" max="11773" width="32.77734375" style="123" customWidth="1"/>
    <col min="11774" max="11774" width="53" style="123" bestFit="1" customWidth="1"/>
    <col min="11775" max="11775" width="1.44140625" style="123" customWidth="1"/>
    <col min="11776" max="11777" width="0" style="123" hidden="1" customWidth="1"/>
    <col min="11778" max="11778" width="1.44140625" style="123" customWidth="1"/>
    <col min="11779" max="11779" width="25.5546875" style="123" bestFit="1" customWidth="1"/>
    <col min="11780" max="11780" width="12.77734375" style="123" bestFit="1" customWidth="1"/>
    <col min="11781" max="11781" width="8.44140625" style="123" bestFit="1" customWidth="1"/>
    <col min="11782" max="11782" width="2.44140625" style="123" customWidth="1"/>
    <col min="11783" max="11783" width="22" style="123" customWidth="1"/>
    <col min="11784" max="11784" width="9.5546875" style="123" bestFit="1" customWidth="1"/>
    <col min="11785" max="11785" width="5.77734375" style="123" customWidth="1"/>
    <col min="11786" max="11786" width="10.44140625" style="123" customWidth="1"/>
    <col min="11787" max="11787" width="3.44140625" style="123" customWidth="1"/>
    <col min="11788" max="11788" width="23.44140625" style="123" customWidth="1"/>
    <col min="11789" max="11789" width="13.5546875" style="123" bestFit="1" customWidth="1"/>
    <col min="11790" max="11790" width="25.5546875" style="123" bestFit="1" customWidth="1"/>
    <col min="11791" max="11791" width="10.5546875" style="123" customWidth="1"/>
    <col min="11792" max="11792" width="10.77734375" style="123" customWidth="1"/>
    <col min="11793" max="11793" width="10.44140625" style="123" customWidth="1"/>
    <col min="11794" max="11799" width="0" style="123" hidden="1" customWidth="1"/>
    <col min="11800" max="11800" width="11.44140625" style="123" customWidth="1"/>
    <col min="11801" max="12025" width="9.21875" style="123"/>
    <col min="12026" max="12026" width="2.44140625" style="123" customWidth="1"/>
    <col min="12027" max="12027" width="12.5546875" style="123" bestFit="1" customWidth="1"/>
    <col min="12028" max="12028" width="6" style="123" customWidth="1"/>
    <col min="12029" max="12029" width="32.77734375" style="123" customWidth="1"/>
    <col min="12030" max="12030" width="53" style="123" bestFit="1" customWidth="1"/>
    <col min="12031" max="12031" width="1.44140625" style="123" customWidth="1"/>
    <col min="12032" max="12033" width="0" style="123" hidden="1" customWidth="1"/>
    <col min="12034" max="12034" width="1.44140625" style="123" customWidth="1"/>
    <col min="12035" max="12035" width="25.5546875" style="123" bestFit="1" customWidth="1"/>
    <col min="12036" max="12036" width="12.77734375" style="123" bestFit="1" customWidth="1"/>
    <col min="12037" max="12037" width="8.44140625" style="123" bestFit="1" customWidth="1"/>
    <col min="12038" max="12038" width="2.44140625" style="123" customWidth="1"/>
    <col min="12039" max="12039" width="22" style="123" customWidth="1"/>
    <col min="12040" max="12040" width="9.5546875" style="123" bestFit="1" customWidth="1"/>
    <col min="12041" max="12041" width="5.77734375" style="123" customWidth="1"/>
    <col min="12042" max="12042" width="10.44140625" style="123" customWidth="1"/>
    <col min="12043" max="12043" width="3.44140625" style="123" customWidth="1"/>
    <col min="12044" max="12044" width="23.44140625" style="123" customWidth="1"/>
    <col min="12045" max="12045" width="13.5546875" style="123" bestFit="1" customWidth="1"/>
    <col min="12046" max="12046" width="25.5546875" style="123" bestFit="1" customWidth="1"/>
    <col min="12047" max="12047" width="10.5546875" style="123" customWidth="1"/>
    <col min="12048" max="12048" width="10.77734375" style="123" customWidth="1"/>
    <col min="12049" max="12049" width="10.44140625" style="123" customWidth="1"/>
    <col min="12050" max="12055" width="0" style="123" hidden="1" customWidth="1"/>
    <col min="12056" max="12056" width="11.44140625" style="123" customWidth="1"/>
    <col min="12057" max="12281" width="9.21875" style="123"/>
    <col min="12282" max="12282" width="2.44140625" style="123" customWidth="1"/>
    <col min="12283" max="12283" width="12.5546875" style="123" bestFit="1" customWidth="1"/>
    <col min="12284" max="12284" width="6" style="123" customWidth="1"/>
    <col min="12285" max="12285" width="32.77734375" style="123" customWidth="1"/>
    <col min="12286" max="12286" width="53" style="123" bestFit="1" customWidth="1"/>
    <col min="12287" max="12287" width="1.44140625" style="123" customWidth="1"/>
    <col min="12288" max="12289" width="0" style="123" hidden="1" customWidth="1"/>
    <col min="12290" max="12290" width="1.44140625" style="123" customWidth="1"/>
    <col min="12291" max="12291" width="25.5546875" style="123" bestFit="1" customWidth="1"/>
    <col min="12292" max="12292" width="12.77734375" style="123" bestFit="1" customWidth="1"/>
    <col min="12293" max="12293" width="8.44140625" style="123" bestFit="1" customWidth="1"/>
    <col min="12294" max="12294" width="2.44140625" style="123" customWidth="1"/>
    <col min="12295" max="12295" width="22" style="123" customWidth="1"/>
    <col min="12296" max="12296" width="9.5546875" style="123" bestFit="1" customWidth="1"/>
    <col min="12297" max="12297" width="5.77734375" style="123" customWidth="1"/>
    <col min="12298" max="12298" width="10.44140625" style="123" customWidth="1"/>
    <col min="12299" max="12299" width="3.44140625" style="123" customWidth="1"/>
    <col min="12300" max="12300" width="23.44140625" style="123" customWidth="1"/>
    <col min="12301" max="12301" width="13.5546875" style="123" bestFit="1" customWidth="1"/>
    <col min="12302" max="12302" width="25.5546875" style="123" bestFit="1" customWidth="1"/>
    <col min="12303" max="12303" width="10.5546875" style="123" customWidth="1"/>
    <col min="12304" max="12304" width="10.77734375" style="123" customWidth="1"/>
    <col min="12305" max="12305" width="10.44140625" style="123" customWidth="1"/>
    <col min="12306" max="12311" width="0" style="123" hidden="1" customWidth="1"/>
    <col min="12312" max="12312" width="11.44140625" style="123" customWidth="1"/>
    <col min="12313" max="12537" width="9.21875" style="123"/>
    <col min="12538" max="12538" width="2.44140625" style="123" customWidth="1"/>
    <col min="12539" max="12539" width="12.5546875" style="123" bestFit="1" customWidth="1"/>
    <col min="12540" max="12540" width="6" style="123" customWidth="1"/>
    <col min="12541" max="12541" width="32.77734375" style="123" customWidth="1"/>
    <col min="12542" max="12542" width="53" style="123" bestFit="1" customWidth="1"/>
    <col min="12543" max="12543" width="1.44140625" style="123" customWidth="1"/>
    <col min="12544" max="12545" width="0" style="123" hidden="1" customWidth="1"/>
    <col min="12546" max="12546" width="1.44140625" style="123" customWidth="1"/>
    <col min="12547" max="12547" width="25.5546875" style="123" bestFit="1" customWidth="1"/>
    <col min="12548" max="12548" width="12.77734375" style="123" bestFit="1" customWidth="1"/>
    <col min="12549" max="12549" width="8.44140625" style="123" bestFit="1" customWidth="1"/>
    <col min="12550" max="12550" width="2.44140625" style="123" customWidth="1"/>
    <col min="12551" max="12551" width="22" style="123" customWidth="1"/>
    <col min="12552" max="12552" width="9.5546875" style="123" bestFit="1" customWidth="1"/>
    <col min="12553" max="12553" width="5.77734375" style="123" customWidth="1"/>
    <col min="12554" max="12554" width="10.44140625" style="123" customWidth="1"/>
    <col min="12555" max="12555" width="3.44140625" style="123" customWidth="1"/>
    <col min="12556" max="12556" width="23.44140625" style="123" customWidth="1"/>
    <col min="12557" max="12557" width="13.5546875" style="123" bestFit="1" customWidth="1"/>
    <col min="12558" max="12558" width="25.5546875" style="123" bestFit="1" customWidth="1"/>
    <col min="12559" max="12559" width="10.5546875" style="123" customWidth="1"/>
    <col min="12560" max="12560" width="10.77734375" style="123" customWidth="1"/>
    <col min="12561" max="12561" width="10.44140625" style="123" customWidth="1"/>
    <col min="12562" max="12567" width="0" style="123" hidden="1" customWidth="1"/>
    <col min="12568" max="12568" width="11.44140625" style="123" customWidth="1"/>
    <col min="12569" max="12793" width="9.21875" style="123"/>
    <col min="12794" max="12794" width="2.44140625" style="123" customWidth="1"/>
    <col min="12795" max="12795" width="12.5546875" style="123" bestFit="1" customWidth="1"/>
    <col min="12796" max="12796" width="6" style="123" customWidth="1"/>
    <col min="12797" max="12797" width="32.77734375" style="123" customWidth="1"/>
    <col min="12798" max="12798" width="53" style="123" bestFit="1" customWidth="1"/>
    <col min="12799" max="12799" width="1.44140625" style="123" customWidth="1"/>
    <col min="12800" max="12801" width="0" style="123" hidden="1" customWidth="1"/>
    <col min="12802" max="12802" width="1.44140625" style="123" customWidth="1"/>
    <col min="12803" max="12803" width="25.5546875" style="123" bestFit="1" customWidth="1"/>
    <col min="12804" max="12804" width="12.77734375" style="123" bestFit="1" customWidth="1"/>
    <col min="12805" max="12805" width="8.44140625" style="123" bestFit="1" customWidth="1"/>
    <col min="12806" max="12806" width="2.44140625" style="123" customWidth="1"/>
    <col min="12807" max="12807" width="22" style="123" customWidth="1"/>
    <col min="12808" max="12808" width="9.5546875" style="123" bestFit="1" customWidth="1"/>
    <col min="12809" max="12809" width="5.77734375" style="123" customWidth="1"/>
    <col min="12810" max="12810" width="10.44140625" style="123" customWidth="1"/>
    <col min="12811" max="12811" width="3.44140625" style="123" customWidth="1"/>
    <col min="12812" max="12812" width="23.44140625" style="123" customWidth="1"/>
    <col min="12813" max="12813" width="13.5546875" style="123" bestFit="1" customWidth="1"/>
    <col min="12814" max="12814" width="25.5546875" style="123" bestFit="1" customWidth="1"/>
    <col min="12815" max="12815" width="10.5546875" style="123" customWidth="1"/>
    <col min="12816" max="12816" width="10.77734375" style="123" customWidth="1"/>
    <col min="12817" max="12817" width="10.44140625" style="123" customWidth="1"/>
    <col min="12818" max="12823" width="0" style="123" hidden="1" customWidth="1"/>
    <col min="12824" max="12824" width="11.44140625" style="123" customWidth="1"/>
    <col min="12825" max="13049" width="9.21875" style="123"/>
    <col min="13050" max="13050" width="2.44140625" style="123" customWidth="1"/>
    <col min="13051" max="13051" width="12.5546875" style="123" bestFit="1" customWidth="1"/>
    <col min="13052" max="13052" width="6" style="123" customWidth="1"/>
    <col min="13053" max="13053" width="32.77734375" style="123" customWidth="1"/>
    <col min="13054" max="13054" width="53" style="123" bestFit="1" customWidth="1"/>
    <col min="13055" max="13055" width="1.44140625" style="123" customWidth="1"/>
    <col min="13056" max="13057" width="0" style="123" hidden="1" customWidth="1"/>
    <col min="13058" max="13058" width="1.44140625" style="123" customWidth="1"/>
    <col min="13059" max="13059" width="25.5546875" style="123" bestFit="1" customWidth="1"/>
    <col min="13060" max="13060" width="12.77734375" style="123" bestFit="1" customWidth="1"/>
    <col min="13061" max="13061" width="8.44140625" style="123" bestFit="1" customWidth="1"/>
    <col min="13062" max="13062" width="2.44140625" style="123" customWidth="1"/>
    <col min="13063" max="13063" width="22" style="123" customWidth="1"/>
    <col min="13064" max="13064" width="9.5546875" style="123" bestFit="1" customWidth="1"/>
    <col min="13065" max="13065" width="5.77734375" style="123" customWidth="1"/>
    <col min="13066" max="13066" width="10.44140625" style="123" customWidth="1"/>
    <col min="13067" max="13067" width="3.44140625" style="123" customWidth="1"/>
    <col min="13068" max="13068" width="23.44140625" style="123" customWidth="1"/>
    <col min="13069" max="13069" width="13.5546875" style="123" bestFit="1" customWidth="1"/>
    <col min="13070" max="13070" width="25.5546875" style="123" bestFit="1" customWidth="1"/>
    <col min="13071" max="13071" width="10.5546875" style="123" customWidth="1"/>
    <col min="13072" max="13072" width="10.77734375" style="123" customWidth="1"/>
    <col min="13073" max="13073" width="10.44140625" style="123" customWidth="1"/>
    <col min="13074" max="13079" width="0" style="123" hidden="1" customWidth="1"/>
    <col min="13080" max="13080" width="11.44140625" style="123" customWidth="1"/>
    <col min="13081" max="13305" width="9.21875" style="123"/>
    <col min="13306" max="13306" width="2.44140625" style="123" customWidth="1"/>
    <col min="13307" max="13307" width="12.5546875" style="123" bestFit="1" customWidth="1"/>
    <col min="13308" max="13308" width="6" style="123" customWidth="1"/>
    <col min="13309" max="13309" width="32.77734375" style="123" customWidth="1"/>
    <col min="13310" max="13310" width="53" style="123" bestFit="1" customWidth="1"/>
    <col min="13311" max="13311" width="1.44140625" style="123" customWidth="1"/>
    <col min="13312" max="13313" width="0" style="123" hidden="1" customWidth="1"/>
    <col min="13314" max="13314" width="1.44140625" style="123" customWidth="1"/>
    <col min="13315" max="13315" width="25.5546875" style="123" bestFit="1" customWidth="1"/>
    <col min="13316" max="13316" width="12.77734375" style="123" bestFit="1" customWidth="1"/>
    <col min="13317" max="13317" width="8.44140625" style="123" bestFit="1" customWidth="1"/>
    <col min="13318" max="13318" width="2.44140625" style="123" customWidth="1"/>
    <col min="13319" max="13319" width="22" style="123" customWidth="1"/>
    <col min="13320" max="13320" width="9.5546875" style="123" bestFit="1" customWidth="1"/>
    <col min="13321" max="13321" width="5.77734375" style="123" customWidth="1"/>
    <col min="13322" max="13322" width="10.44140625" style="123" customWidth="1"/>
    <col min="13323" max="13323" width="3.44140625" style="123" customWidth="1"/>
    <col min="13324" max="13324" width="23.44140625" style="123" customWidth="1"/>
    <col min="13325" max="13325" width="13.5546875" style="123" bestFit="1" customWidth="1"/>
    <col min="13326" max="13326" width="25.5546875" style="123" bestFit="1" customWidth="1"/>
    <col min="13327" max="13327" width="10.5546875" style="123" customWidth="1"/>
    <col min="13328" max="13328" width="10.77734375" style="123" customWidth="1"/>
    <col min="13329" max="13329" width="10.44140625" style="123" customWidth="1"/>
    <col min="13330" max="13335" width="0" style="123" hidden="1" customWidth="1"/>
    <col min="13336" max="13336" width="11.44140625" style="123" customWidth="1"/>
    <col min="13337" max="13561" width="9.21875" style="123"/>
    <col min="13562" max="13562" width="2.44140625" style="123" customWidth="1"/>
    <col min="13563" max="13563" width="12.5546875" style="123" bestFit="1" customWidth="1"/>
    <col min="13564" max="13564" width="6" style="123" customWidth="1"/>
    <col min="13565" max="13565" width="32.77734375" style="123" customWidth="1"/>
    <col min="13566" max="13566" width="53" style="123" bestFit="1" customWidth="1"/>
    <col min="13567" max="13567" width="1.44140625" style="123" customWidth="1"/>
    <col min="13568" max="13569" width="0" style="123" hidden="1" customWidth="1"/>
    <col min="13570" max="13570" width="1.44140625" style="123" customWidth="1"/>
    <col min="13571" max="13571" width="25.5546875" style="123" bestFit="1" customWidth="1"/>
    <col min="13572" max="13572" width="12.77734375" style="123" bestFit="1" customWidth="1"/>
    <col min="13573" max="13573" width="8.44140625" style="123" bestFit="1" customWidth="1"/>
    <col min="13574" max="13574" width="2.44140625" style="123" customWidth="1"/>
    <col min="13575" max="13575" width="22" style="123" customWidth="1"/>
    <col min="13576" max="13576" width="9.5546875" style="123" bestFit="1" customWidth="1"/>
    <col min="13577" max="13577" width="5.77734375" style="123" customWidth="1"/>
    <col min="13578" max="13578" width="10.44140625" style="123" customWidth="1"/>
    <col min="13579" max="13579" width="3.44140625" style="123" customWidth="1"/>
    <col min="13580" max="13580" width="23.44140625" style="123" customWidth="1"/>
    <col min="13581" max="13581" width="13.5546875" style="123" bestFit="1" customWidth="1"/>
    <col min="13582" max="13582" width="25.5546875" style="123" bestFit="1" customWidth="1"/>
    <col min="13583" max="13583" width="10.5546875" style="123" customWidth="1"/>
    <col min="13584" max="13584" width="10.77734375" style="123" customWidth="1"/>
    <col min="13585" max="13585" width="10.44140625" style="123" customWidth="1"/>
    <col min="13586" max="13591" width="0" style="123" hidden="1" customWidth="1"/>
    <col min="13592" max="13592" width="11.44140625" style="123" customWidth="1"/>
    <col min="13593" max="13817" width="9.21875" style="123"/>
    <col min="13818" max="13818" width="2.44140625" style="123" customWidth="1"/>
    <col min="13819" max="13819" width="12.5546875" style="123" bestFit="1" customWidth="1"/>
    <col min="13820" max="13820" width="6" style="123" customWidth="1"/>
    <col min="13821" max="13821" width="32.77734375" style="123" customWidth="1"/>
    <col min="13822" max="13822" width="53" style="123" bestFit="1" customWidth="1"/>
    <col min="13823" max="13823" width="1.44140625" style="123" customWidth="1"/>
    <col min="13824" max="13825" width="0" style="123" hidden="1" customWidth="1"/>
    <col min="13826" max="13826" width="1.44140625" style="123" customWidth="1"/>
    <col min="13827" max="13827" width="25.5546875" style="123" bestFit="1" customWidth="1"/>
    <col min="13828" max="13828" width="12.77734375" style="123" bestFit="1" customWidth="1"/>
    <col min="13829" max="13829" width="8.44140625" style="123" bestFit="1" customWidth="1"/>
    <col min="13830" max="13830" width="2.44140625" style="123" customWidth="1"/>
    <col min="13831" max="13831" width="22" style="123" customWidth="1"/>
    <col min="13832" max="13832" width="9.5546875" style="123" bestFit="1" customWidth="1"/>
    <col min="13833" max="13833" width="5.77734375" style="123" customWidth="1"/>
    <col min="13834" max="13834" width="10.44140625" style="123" customWidth="1"/>
    <col min="13835" max="13835" width="3.44140625" style="123" customWidth="1"/>
    <col min="13836" max="13836" width="23.44140625" style="123" customWidth="1"/>
    <col min="13837" max="13837" width="13.5546875" style="123" bestFit="1" customWidth="1"/>
    <col min="13838" max="13838" width="25.5546875" style="123" bestFit="1" customWidth="1"/>
    <col min="13839" max="13839" width="10.5546875" style="123" customWidth="1"/>
    <col min="13840" max="13840" width="10.77734375" style="123" customWidth="1"/>
    <col min="13841" max="13841" width="10.44140625" style="123" customWidth="1"/>
    <col min="13842" max="13847" width="0" style="123" hidden="1" customWidth="1"/>
    <col min="13848" max="13848" width="11.44140625" style="123" customWidth="1"/>
    <col min="13849" max="14073" width="9.21875" style="123"/>
    <col min="14074" max="14074" width="2.44140625" style="123" customWidth="1"/>
    <col min="14075" max="14075" width="12.5546875" style="123" bestFit="1" customWidth="1"/>
    <col min="14076" max="14076" width="6" style="123" customWidth="1"/>
    <col min="14077" max="14077" width="32.77734375" style="123" customWidth="1"/>
    <col min="14078" max="14078" width="53" style="123" bestFit="1" customWidth="1"/>
    <col min="14079" max="14079" width="1.44140625" style="123" customWidth="1"/>
    <col min="14080" max="14081" width="0" style="123" hidden="1" customWidth="1"/>
    <col min="14082" max="14082" width="1.44140625" style="123" customWidth="1"/>
    <col min="14083" max="14083" width="25.5546875" style="123" bestFit="1" customWidth="1"/>
    <col min="14084" max="14084" width="12.77734375" style="123" bestFit="1" customWidth="1"/>
    <col min="14085" max="14085" width="8.44140625" style="123" bestFit="1" customWidth="1"/>
    <col min="14086" max="14086" width="2.44140625" style="123" customWidth="1"/>
    <col min="14087" max="14087" width="22" style="123" customWidth="1"/>
    <col min="14088" max="14088" width="9.5546875" style="123" bestFit="1" customWidth="1"/>
    <col min="14089" max="14089" width="5.77734375" style="123" customWidth="1"/>
    <col min="14090" max="14090" width="10.44140625" style="123" customWidth="1"/>
    <col min="14091" max="14091" width="3.44140625" style="123" customWidth="1"/>
    <col min="14092" max="14092" width="23.44140625" style="123" customWidth="1"/>
    <col min="14093" max="14093" width="13.5546875" style="123" bestFit="1" customWidth="1"/>
    <col min="14094" max="14094" width="25.5546875" style="123" bestFit="1" customWidth="1"/>
    <col min="14095" max="14095" width="10.5546875" style="123" customWidth="1"/>
    <col min="14096" max="14096" width="10.77734375" style="123" customWidth="1"/>
    <col min="14097" max="14097" width="10.44140625" style="123" customWidth="1"/>
    <col min="14098" max="14103" width="0" style="123" hidden="1" customWidth="1"/>
    <col min="14104" max="14104" width="11.44140625" style="123" customWidth="1"/>
    <col min="14105" max="14329" width="9.21875" style="123"/>
    <col min="14330" max="14330" width="2.44140625" style="123" customWidth="1"/>
    <col min="14331" max="14331" width="12.5546875" style="123" bestFit="1" customWidth="1"/>
    <col min="14332" max="14332" width="6" style="123" customWidth="1"/>
    <col min="14333" max="14333" width="32.77734375" style="123" customWidth="1"/>
    <col min="14334" max="14334" width="53" style="123" bestFit="1" customWidth="1"/>
    <col min="14335" max="14335" width="1.44140625" style="123" customWidth="1"/>
    <col min="14336" max="14337" width="0" style="123" hidden="1" customWidth="1"/>
    <col min="14338" max="14338" width="1.44140625" style="123" customWidth="1"/>
    <col min="14339" max="14339" width="25.5546875" style="123" bestFit="1" customWidth="1"/>
    <col min="14340" max="14340" width="12.77734375" style="123" bestFit="1" customWidth="1"/>
    <col min="14341" max="14341" width="8.44140625" style="123" bestFit="1" customWidth="1"/>
    <col min="14342" max="14342" width="2.44140625" style="123" customWidth="1"/>
    <col min="14343" max="14343" width="22" style="123" customWidth="1"/>
    <col min="14344" max="14344" width="9.5546875" style="123" bestFit="1" customWidth="1"/>
    <col min="14345" max="14345" width="5.77734375" style="123" customWidth="1"/>
    <col min="14346" max="14346" width="10.44140625" style="123" customWidth="1"/>
    <col min="14347" max="14347" width="3.44140625" style="123" customWidth="1"/>
    <col min="14348" max="14348" width="23.44140625" style="123" customWidth="1"/>
    <col min="14349" max="14349" width="13.5546875" style="123" bestFit="1" customWidth="1"/>
    <col min="14350" max="14350" width="25.5546875" style="123" bestFit="1" customWidth="1"/>
    <col min="14351" max="14351" width="10.5546875" style="123" customWidth="1"/>
    <col min="14352" max="14352" width="10.77734375" style="123" customWidth="1"/>
    <col min="14353" max="14353" width="10.44140625" style="123" customWidth="1"/>
    <col min="14354" max="14359" width="0" style="123" hidden="1" customWidth="1"/>
    <col min="14360" max="14360" width="11.44140625" style="123" customWidth="1"/>
    <col min="14361" max="14585" width="9.21875" style="123"/>
    <col min="14586" max="14586" width="2.44140625" style="123" customWidth="1"/>
    <col min="14587" max="14587" width="12.5546875" style="123" bestFit="1" customWidth="1"/>
    <col min="14588" max="14588" width="6" style="123" customWidth="1"/>
    <col min="14589" max="14589" width="32.77734375" style="123" customWidth="1"/>
    <col min="14590" max="14590" width="53" style="123" bestFit="1" customWidth="1"/>
    <col min="14591" max="14591" width="1.44140625" style="123" customWidth="1"/>
    <col min="14592" max="14593" width="0" style="123" hidden="1" customWidth="1"/>
    <col min="14594" max="14594" width="1.44140625" style="123" customWidth="1"/>
    <col min="14595" max="14595" width="25.5546875" style="123" bestFit="1" customWidth="1"/>
    <col min="14596" max="14596" width="12.77734375" style="123" bestFit="1" customWidth="1"/>
    <col min="14597" max="14597" width="8.44140625" style="123" bestFit="1" customWidth="1"/>
    <col min="14598" max="14598" width="2.44140625" style="123" customWidth="1"/>
    <col min="14599" max="14599" width="22" style="123" customWidth="1"/>
    <col min="14600" max="14600" width="9.5546875" style="123" bestFit="1" customWidth="1"/>
    <col min="14601" max="14601" width="5.77734375" style="123" customWidth="1"/>
    <col min="14602" max="14602" width="10.44140625" style="123" customWidth="1"/>
    <col min="14603" max="14603" width="3.44140625" style="123" customWidth="1"/>
    <col min="14604" max="14604" width="23.44140625" style="123" customWidth="1"/>
    <col min="14605" max="14605" width="13.5546875" style="123" bestFit="1" customWidth="1"/>
    <col min="14606" max="14606" width="25.5546875" style="123" bestFit="1" customWidth="1"/>
    <col min="14607" max="14607" width="10.5546875" style="123" customWidth="1"/>
    <col min="14608" max="14608" width="10.77734375" style="123" customWidth="1"/>
    <col min="14609" max="14609" width="10.44140625" style="123" customWidth="1"/>
    <col min="14610" max="14615" width="0" style="123" hidden="1" customWidth="1"/>
    <col min="14616" max="14616" width="11.44140625" style="123" customWidth="1"/>
    <col min="14617" max="14841" width="9.21875" style="123"/>
    <col min="14842" max="14842" width="2.44140625" style="123" customWidth="1"/>
    <col min="14843" max="14843" width="12.5546875" style="123" bestFit="1" customWidth="1"/>
    <col min="14844" max="14844" width="6" style="123" customWidth="1"/>
    <col min="14845" max="14845" width="32.77734375" style="123" customWidth="1"/>
    <col min="14846" max="14846" width="53" style="123" bestFit="1" customWidth="1"/>
    <col min="14847" max="14847" width="1.44140625" style="123" customWidth="1"/>
    <col min="14848" max="14849" width="0" style="123" hidden="1" customWidth="1"/>
    <col min="14850" max="14850" width="1.44140625" style="123" customWidth="1"/>
    <col min="14851" max="14851" width="25.5546875" style="123" bestFit="1" customWidth="1"/>
    <col min="14852" max="14852" width="12.77734375" style="123" bestFit="1" customWidth="1"/>
    <col min="14853" max="14853" width="8.44140625" style="123" bestFit="1" customWidth="1"/>
    <col min="14854" max="14854" width="2.44140625" style="123" customWidth="1"/>
    <col min="14855" max="14855" width="22" style="123" customWidth="1"/>
    <col min="14856" max="14856" width="9.5546875" style="123" bestFit="1" customWidth="1"/>
    <col min="14857" max="14857" width="5.77734375" style="123" customWidth="1"/>
    <col min="14858" max="14858" width="10.44140625" style="123" customWidth="1"/>
    <col min="14859" max="14859" width="3.44140625" style="123" customWidth="1"/>
    <col min="14860" max="14860" width="23.44140625" style="123" customWidth="1"/>
    <col min="14861" max="14861" width="13.5546875" style="123" bestFit="1" customWidth="1"/>
    <col min="14862" max="14862" width="25.5546875" style="123" bestFit="1" customWidth="1"/>
    <col min="14863" max="14863" width="10.5546875" style="123" customWidth="1"/>
    <col min="14864" max="14864" width="10.77734375" style="123" customWidth="1"/>
    <col min="14865" max="14865" width="10.44140625" style="123" customWidth="1"/>
    <col min="14866" max="14871" width="0" style="123" hidden="1" customWidth="1"/>
    <col min="14872" max="14872" width="11.44140625" style="123" customWidth="1"/>
    <col min="14873" max="15097" width="9.21875" style="123"/>
    <col min="15098" max="15098" width="2.44140625" style="123" customWidth="1"/>
    <col min="15099" max="15099" width="12.5546875" style="123" bestFit="1" customWidth="1"/>
    <col min="15100" max="15100" width="6" style="123" customWidth="1"/>
    <col min="15101" max="15101" width="32.77734375" style="123" customWidth="1"/>
    <col min="15102" max="15102" width="53" style="123" bestFit="1" customWidth="1"/>
    <col min="15103" max="15103" width="1.44140625" style="123" customWidth="1"/>
    <col min="15104" max="15105" width="0" style="123" hidden="1" customWidth="1"/>
    <col min="15106" max="15106" width="1.44140625" style="123" customWidth="1"/>
    <col min="15107" max="15107" width="25.5546875" style="123" bestFit="1" customWidth="1"/>
    <col min="15108" max="15108" width="12.77734375" style="123" bestFit="1" customWidth="1"/>
    <col min="15109" max="15109" width="8.44140625" style="123" bestFit="1" customWidth="1"/>
    <col min="15110" max="15110" width="2.44140625" style="123" customWidth="1"/>
    <col min="15111" max="15111" width="22" style="123" customWidth="1"/>
    <col min="15112" max="15112" width="9.5546875" style="123" bestFit="1" customWidth="1"/>
    <col min="15113" max="15113" width="5.77734375" style="123" customWidth="1"/>
    <col min="15114" max="15114" width="10.44140625" style="123" customWidth="1"/>
    <col min="15115" max="15115" width="3.44140625" style="123" customWidth="1"/>
    <col min="15116" max="15116" width="23.44140625" style="123" customWidth="1"/>
    <col min="15117" max="15117" width="13.5546875" style="123" bestFit="1" customWidth="1"/>
    <col min="15118" max="15118" width="25.5546875" style="123" bestFit="1" customWidth="1"/>
    <col min="15119" max="15119" width="10.5546875" style="123" customWidth="1"/>
    <col min="15120" max="15120" width="10.77734375" style="123" customWidth="1"/>
    <col min="15121" max="15121" width="10.44140625" style="123" customWidth="1"/>
    <col min="15122" max="15127" width="0" style="123" hidden="1" customWidth="1"/>
    <col min="15128" max="15128" width="11.44140625" style="123" customWidth="1"/>
    <col min="15129" max="15353" width="9.21875" style="123"/>
    <col min="15354" max="15354" width="2.44140625" style="123" customWidth="1"/>
    <col min="15355" max="15355" width="12.5546875" style="123" bestFit="1" customWidth="1"/>
    <col min="15356" max="15356" width="6" style="123" customWidth="1"/>
    <col min="15357" max="15357" width="32.77734375" style="123" customWidth="1"/>
    <col min="15358" max="15358" width="53" style="123" bestFit="1" customWidth="1"/>
    <col min="15359" max="15359" width="1.44140625" style="123" customWidth="1"/>
    <col min="15360" max="15361" width="0" style="123" hidden="1" customWidth="1"/>
    <col min="15362" max="15362" width="1.44140625" style="123" customWidth="1"/>
    <col min="15363" max="15363" width="25.5546875" style="123" bestFit="1" customWidth="1"/>
    <col min="15364" max="15364" width="12.77734375" style="123" bestFit="1" customWidth="1"/>
    <col min="15365" max="15365" width="8.44140625" style="123" bestFit="1" customWidth="1"/>
    <col min="15366" max="15366" width="2.44140625" style="123" customWidth="1"/>
    <col min="15367" max="15367" width="22" style="123" customWidth="1"/>
    <col min="15368" max="15368" width="9.5546875" style="123" bestFit="1" customWidth="1"/>
    <col min="15369" max="15369" width="5.77734375" style="123" customWidth="1"/>
    <col min="15370" max="15370" width="10.44140625" style="123" customWidth="1"/>
    <col min="15371" max="15371" width="3.44140625" style="123" customWidth="1"/>
    <col min="15372" max="15372" width="23.44140625" style="123" customWidth="1"/>
    <col min="15373" max="15373" width="13.5546875" style="123" bestFit="1" customWidth="1"/>
    <col min="15374" max="15374" width="25.5546875" style="123" bestFit="1" customWidth="1"/>
    <col min="15375" max="15375" width="10.5546875" style="123" customWidth="1"/>
    <col min="15376" max="15376" width="10.77734375" style="123" customWidth="1"/>
    <col min="15377" max="15377" width="10.44140625" style="123" customWidth="1"/>
    <col min="15378" max="15383" width="0" style="123" hidden="1" customWidth="1"/>
    <col min="15384" max="15384" width="11.44140625" style="123" customWidth="1"/>
    <col min="15385" max="15609" width="9.21875" style="123"/>
    <col min="15610" max="15610" width="2.44140625" style="123" customWidth="1"/>
    <col min="15611" max="15611" width="12.5546875" style="123" bestFit="1" customWidth="1"/>
    <col min="15612" max="15612" width="6" style="123" customWidth="1"/>
    <col min="15613" max="15613" width="32.77734375" style="123" customWidth="1"/>
    <col min="15614" max="15614" width="53" style="123" bestFit="1" customWidth="1"/>
    <col min="15615" max="15615" width="1.44140625" style="123" customWidth="1"/>
    <col min="15616" max="15617" width="0" style="123" hidden="1" customWidth="1"/>
    <col min="15618" max="15618" width="1.44140625" style="123" customWidth="1"/>
    <col min="15619" max="15619" width="25.5546875" style="123" bestFit="1" customWidth="1"/>
    <col min="15620" max="15620" width="12.77734375" style="123" bestFit="1" customWidth="1"/>
    <col min="15621" max="15621" width="8.44140625" style="123" bestFit="1" customWidth="1"/>
    <col min="15622" max="15622" width="2.44140625" style="123" customWidth="1"/>
    <col min="15623" max="15623" width="22" style="123" customWidth="1"/>
    <col min="15624" max="15624" width="9.5546875" style="123" bestFit="1" customWidth="1"/>
    <col min="15625" max="15625" width="5.77734375" style="123" customWidth="1"/>
    <col min="15626" max="15626" width="10.44140625" style="123" customWidth="1"/>
    <col min="15627" max="15627" width="3.44140625" style="123" customWidth="1"/>
    <col min="15628" max="15628" width="23.44140625" style="123" customWidth="1"/>
    <col min="15629" max="15629" width="13.5546875" style="123" bestFit="1" customWidth="1"/>
    <col min="15630" max="15630" width="25.5546875" style="123" bestFit="1" customWidth="1"/>
    <col min="15631" max="15631" width="10.5546875" style="123" customWidth="1"/>
    <col min="15632" max="15632" width="10.77734375" style="123" customWidth="1"/>
    <col min="15633" max="15633" width="10.44140625" style="123" customWidth="1"/>
    <col min="15634" max="15639" width="0" style="123" hidden="1" customWidth="1"/>
    <col min="15640" max="15640" width="11.44140625" style="123" customWidth="1"/>
    <col min="15641" max="15865" width="9.21875" style="123"/>
    <col min="15866" max="15866" width="2.44140625" style="123" customWidth="1"/>
    <col min="15867" max="15867" width="12.5546875" style="123" bestFit="1" customWidth="1"/>
    <col min="15868" max="15868" width="6" style="123" customWidth="1"/>
    <col min="15869" max="15869" width="32.77734375" style="123" customWidth="1"/>
    <col min="15870" max="15870" width="53" style="123" bestFit="1" customWidth="1"/>
    <col min="15871" max="15871" width="1.44140625" style="123" customWidth="1"/>
    <col min="15872" max="15873" width="0" style="123" hidden="1" customWidth="1"/>
    <col min="15874" max="15874" width="1.44140625" style="123" customWidth="1"/>
    <col min="15875" max="15875" width="25.5546875" style="123" bestFit="1" customWidth="1"/>
    <col min="15876" max="15876" width="12.77734375" style="123" bestFit="1" customWidth="1"/>
    <col min="15877" max="15877" width="8.44140625" style="123" bestFit="1" customWidth="1"/>
    <col min="15878" max="15878" width="2.44140625" style="123" customWidth="1"/>
    <col min="15879" max="15879" width="22" style="123" customWidth="1"/>
    <col min="15880" max="15880" width="9.5546875" style="123" bestFit="1" customWidth="1"/>
    <col min="15881" max="15881" width="5.77734375" style="123" customWidth="1"/>
    <col min="15882" max="15882" width="10.44140625" style="123" customWidth="1"/>
    <col min="15883" max="15883" width="3.44140625" style="123" customWidth="1"/>
    <col min="15884" max="15884" width="23.44140625" style="123" customWidth="1"/>
    <col min="15885" max="15885" width="13.5546875" style="123" bestFit="1" customWidth="1"/>
    <col min="15886" max="15886" width="25.5546875" style="123" bestFit="1" customWidth="1"/>
    <col min="15887" max="15887" width="10.5546875" style="123" customWidth="1"/>
    <col min="15888" max="15888" width="10.77734375" style="123" customWidth="1"/>
    <col min="15889" max="15889" width="10.44140625" style="123" customWidth="1"/>
    <col min="15890" max="15895" width="0" style="123" hidden="1" customWidth="1"/>
    <col min="15896" max="15896" width="11.44140625" style="123" customWidth="1"/>
    <col min="15897" max="16121" width="9.21875" style="123"/>
    <col min="16122" max="16122" width="2.44140625" style="123" customWidth="1"/>
    <col min="16123" max="16123" width="12.5546875" style="123" bestFit="1" customWidth="1"/>
    <col min="16124" max="16124" width="6" style="123" customWidth="1"/>
    <col min="16125" max="16125" width="32.77734375" style="123" customWidth="1"/>
    <col min="16126" max="16126" width="53" style="123" bestFit="1" customWidth="1"/>
    <col min="16127" max="16127" width="1.44140625" style="123" customWidth="1"/>
    <col min="16128" max="16129" width="0" style="123" hidden="1" customWidth="1"/>
    <col min="16130" max="16130" width="1.44140625" style="123" customWidth="1"/>
    <col min="16131" max="16131" width="25.5546875" style="123" bestFit="1" customWidth="1"/>
    <col min="16132" max="16132" width="12.77734375" style="123" bestFit="1" customWidth="1"/>
    <col min="16133" max="16133" width="8.44140625" style="123" bestFit="1" customWidth="1"/>
    <col min="16134" max="16134" width="2.44140625" style="123" customWidth="1"/>
    <col min="16135" max="16135" width="22" style="123" customWidth="1"/>
    <col min="16136" max="16136" width="9.5546875" style="123" bestFit="1" customWidth="1"/>
    <col min="16137" max="16137" width="5.77734375" style="123" customWidth="1"/>
    <col min="16138" max="16138" width="10.44140625" style="123" customWidth="1"/>
    <col min="16139" max="16139" width="3.44140625" style="123" customWidth="1"/>
    <col min="16140" max="16140" width="23.44140625" style="123" customWidth="1"/>
    <col min="16141" max="16141" width="13.5546875" style="123" bestFit="1" customWidth="1"/>
    <col min="16142" max="16142" width="25.5546875" style="123" bestFit="1" customWidth="1"/>
    <col min="16143" max="16143" width="10.5546875" style="123" customWidth="1"/>
    <col min="16144" max="16144" width="10.77734375" style="123" customWidth="1"/>
    <col min="16145" max="16145" width="10.44140625" style="123" customWidth="1"/>
    <col min="16146" max="16151" width="0" style="123" hidden="1" customWidth="1"/>
    <col min="16152" max="16152" width="11.44140625" style="123" customWidth="1"/>
    <col min="16153" max="16384" width="9.21875" style="123"/>
  </cols>
  <sheetData>
    <row r="1" spans="1:117" s="219" customFormat="1" ht="14.4" thickBot="1" x14ac:dyDescent="0.3">
      <c r="A1" s="115"/>
      <c r="B1" s="202"/>
      <c r="C1" s="123"/>
      <c r="D1" s="123"/>
      <c r="E1" s="123"/>
      <c r="F1" s="115"/>
      <c r="G1" s="118"/>
    </row>
    <row r="2" spans="1:117" s="219" customFormat="1" ht="16.2" x14ac:dyDescent="0.3">
      <c r="A2" s="115"/>
      <c r="B2" s="249" t="str">
        <f>Vragenlijst!B2</f>
        <v>Plankostenregels bij kostenverhaal Met tijdvak</v>
      </c>
      <c r="C2" s="250"/>
      <c r="D2" s="250"/>
      <c r="E2" s="250"/>
      <c r="F2" s="250"/>
      <c r="G2" s="250"/>
      <c r="H2" s="250"/>
      <c r="I2" s="250"/>
      <c r="J2" s="250"/>
      <c r="K2" s="250"/>
      <c r="L2" s="250"/>
      <c r="M2" s="250"/>
      <c r="N2" s="250"/>
      <c r="O2" s="250"/>
      <c r="P2" s="251"/>
    </row>
    <row r="3" spans="1:117" s="219" customFormat="1" ht="16.2" x14ac:dyDescent="0.3">
      <c r="A3" s="115"/>
      <c r="B3" s="252"/>
      <c r="C3" s="244"/>
      <c r="D3" s="244"/>
      <c r="E3" s="244"/>
      <c r="F3" s="244"/>
      <c r="G3" s="244"/>
      <c r="H3" s="244"/>
      <c r="I3" s="244"/>
      <c r="J3" s="244"/>
      <c r="K3" s="244"/>
      <c r="L3" s="244"/>
      <c r="M3" s="244"/>
      <c r="N3" s="244"/>
      <c r="O3" s="244"/>
      <c r="P3" s="245"/>
    </row>
    <row r="4" spans="1:117" s="219" customFormat="1" ht="16.2" x14ac:dyDescent="0.3">
      <c r="A4" s="115"/>
      <c r="B4" s="252"/>
      <c r="C4" s="244"/>
      <c r="D4" s="244"/>
      <c r="E4" s="244"/>
      <c r="F4" s="244"/>
      <c r="G4" s="244"/>
      <c r="H4" s="244"/>
      <c r="I4" s="244"/>
      <c r="J4" s="244"/>
      <c r="K4" s="244"/>
      <c r="L4" s="244"/>
      <c r="M4" s="244"/>
      <c r="N4" s="244"/>
      <c r="O4" s="244"/>
      <c r="P4" s="245"/>
    </row>
    <row r="5" spans="1:117" s="219" customFormat="1" ht="16.8" thickBot="1" x14ac:dyDescent="0.35">
      <c r="A5" s="115"/>
      <c r="B5" s="253" t="s">
        <v>126</v>
      </c>
      <c r="C5" s="254"/>
      <c r="D5" s="254"/>
      <c r="E5" s="254"/>
      <c r="F5" s="254"/>
      <c r="G5" s="254"/>
      <c r="H5" s="254"/>
      <c r="I5" s="254"/>
      <c r="J5" s="254"/>
      <c r="K5" s="254"/>
      <c r="L5" s="254"/>
      <c r="M5" s="254"/>
      <c r="N5" s="254"/>
      <c r="O5" s="254"/>
      <c r="P5" s="255"/>
    </row>
    <row r="6" spans="1:117" s="115" customFormat="1" x14ac:dyDescent="0.25">
      <c r="B6" s="116"/>
      <c r="E6" s="117"/>
      <c r="G6" s="118"/>
      <c r="H6" s="219"/>
      <c r="I6" s="219"/>
      <c r="J6" s="219"/>
      <c r="N6" s="208"/>
      <c r="O6" s="119"/>
      <c r="Q6" s="122"/>
      <c r="R6" s="122"/>
      <c r="S6" s="122"/>
      <c r="T6" s="122"/>
      <c r="U6" s="122"/>
      <c r="V6" s="122"/>
      <c r="W6" s="122"/>
      <c r="X6" s="122"/>
      <c r="Y6" s="122"/>
      <c r="Z6" s="122"/>
      <c r="AA6" s="122"/>
      <c r="AB6" s="122"/>
      <c r="AC6" s="122"/>
      <c r="AD6" s="122"/>
      <c r="AE6" s="122"/>
      <c r="AF6" s="122"/>
      <c r="AG6" s="122"/>
      <c r="AH6" s="122"/>
      <c r="AI6" s="122"/>
      <c r="AJ6" s="122"/>
      <c r="AK6" s="122"/>
      <c r="AL6" s="122"/>
      <c r="AM6" s="122"/>
      <c r="AN6" s="122"/>
      <c r="AO6" s="122"/>
      <c r="AP6" s="122"/>
      <c r="AQ6" s="122"/>
    </row>
    <row r="7" spans="1:117" ht="15" customHeight="1" x14ac:dyDescent="0.25">
      <c r="B7" s="587" t="s">
        <v>127</v>
      </c>
      <c r="C7" s="121"/>
      <c r="D7" s="103"/>
      <c r="E7" s="120" t="s">
        <v>128</v>
      </c>
      <c r="F7" s="121"/>
      <c r="G7" s="121"/>
      <c r="H7" s="209"/>
      <c r="I7" s="122"/>
      <c r="J7" s="122"/>
      <c r="K7" s="122"/>
      <c r="L7" s="122"/>
      <c r="M7" s="122"/>
      <c r="N7" s="122"/>
      <c r="O7" s="122"/>
      <c r="P7" s="122"/>
    </row>
    <row r="8" spans="1:117" ht="14.25" customHeight="1" x14ac:dyDescent="0.25">
      <c r="B8" s="124" t="s">
        <v>129</v>
      </c>
      <c r="C8" s="126"/>
      <c r="D8" s="104">
        <f>'Staffels &amp; Tabellen'!D212</f>
        <v>0</v>
      </c>
      <c r="E8" s="125" t="str">
        <f>IF(Vragenlijst!E27="[Selecteer type]","Geen ligging kostenverhaalsgebied gekozen",Vragenlijst!E27)</f>
        <v>Geen ligging kostenverhaalsgebied gekozen</v>
      </c>
      <c r="F8" s="126"/>
      <c r="G8" s="126"/>
      <c r="H8" s="210"/>
      <c r="I8" s="122"/>
      <c r="J8" s="122"/>
      <c r="K8" s="122"/>
      <c r="L8" s="122"/>
      <c r="M8" s="122"/>
      <c r="N8" s="122"/>
      <c r="O8" s="122"/>
      <c r="P8" s="122"/>
    </row>
    <row r="9" spans="1:117" x14ac:dyDescent="0.25">
      <c r="B9" s="124" t="s">
        <v>130</v>
      </c>
      <c r="C9" s="126"/>
      <c r="D9" s="104">
        <f>'Staffels &amp; Tabellen'!D223</f>
        <v>0</v>
      </c>
      <c r="E9" s="125" t="str">
        <f>IF(Vragenlijst!E34="[Selecteer keuze]","Geen type opgave gekozen",Vragenlijst!E34)</f>
        <v>Geen type opgave gekozen</v>
      </c>
      <c r="F9" s="126"/>
      <c r="G9" s="126"/>
      <c r="H9" s="210"/>
      <c r="I9" s="122"/>
      <c r="J9" s="645"/>
      <c r="K9" s="122"/>
      <c r="L9" s="122"/>
      <c r="M9" s="122"/>
      <c r="N9" s="122"/>
      <c r="O9" s="122"/>
      <c r="P9" s="122"/>
    </row>
    <row r="10" spans="1:117" x14ac:dyDescent="0.25">
      <c r="B10" s="124" t="s">
        <v>131</v>
      </c>
      <c r="C10" s="126"/>
      <c r="D10" s="104">
        <f>'Staffels &amp; Tabellen'!D234</f>
        <v>0</v>
      </c>
      <c r="E10" s="393" t="str">
        <f>IF(Vragenlijst!E86="",0,Vragenlijst!E86)&amp;" onteigeningsbeschikking(en)"</f>
        <v>0 onteigeningsbeschikking(en)</v>
      </c>
      <c r="F10" s="126"/>
      <c r="G10" s="126"/>
      <c r="H10" s="210"/>
      <c r="I10" s="122"/>
      <c r="J10" s="122"/>
      <c r="K10" s="122"/>
      <c r="L10" s="122"/>
      <c r="M10" s="122"/>
      <c r="N10" s="122"/>
      <c r="O10" s="122"/>
      <c r="P10" s="122"/>
    </row>
    <row r="11" spans="1:117" x14ac:dyDescent="0.25">
      <c r="B11" s="124" t="s">
        <v>132</v>
      </c>
      <c r="C11" s="126"/>
      <c r="D11" s="104">
        <f>'Staffels &amp; Tabellen'!D243</f>
        <v>0</v>
      </c>
      <c r="E11" s="127" t="str">
        <f>IF(IF(Vragenlijst!E37&gt;0,Vragenlijst!D37,"")&amp;IF(Vragenlijst!E38&gt;0,Vragenlijst!D38,"")&amp;IF(Vragenlijst!E39&gt;0,Vragenlijst!D39,"")&amp;IF(Vragenlijst!E40&gt;0,Vragenlijst!D40,"")="","Geen Programma ingevuld",IF(Vragenlijst!E37&gt;0,Vragenlijst!D37,"")&amp;IF(Vragenlijst!E38&gt;0,Vragenlijst!D38,"")&amp;IF(Vragenlijst!E39&gt;0,Vragenlijst!D39,"")&amp;IF(Vragenlijst!E40&gt;0,Vragenlijst!D40,""))</f>
        <v>Geen Programma ingevuld</v>
      </c>
      <c r="F11" s="126"/>
      <c r="G11" s="126"/>
      <c r="H11" s="210"/>
      <c r="I11" s="122"/>
      <c r="J11" s="122"/>
      <c r="K11" s="122"/>
      <c r="L11" s="122"/>
      <c r="M11" s="122"/>
      <c r="N11" s="122"/>
      <c r="O11" s="122"/>
      <c r="P11" s="122"/>
    </row>
    <row r="12" spans="1:117" x14ac:dyDescent="0.25">
      <c r="B12" s="124" t="s">
        <v>133</v>
      </c>
      <c r="C12" s="129"/>
      <c r="D12" s="105">
        <f>'Staffels &amp; Tabellen'!D254</f>
        <v>0</v>
      </c>
      <c r="E12" s="128" t="str">
        <f>IF(IF(Vragenlijst!E51="Ja",Vragenlijst!G51,"")&amp;IF(Vragenlijst!E52="Ja",Vragenlijst!G52,"")&amp;IF(Vragenlijst!E53="Ja",Vragenlijst!G53,"")&amp;IF(Vragenlijst!E131="Ja","Bodem onderzoek","")="","Geen onderzoek geselecteerd",IF(Vragenlijst!E51="Ja",Vragenlijst!G51,"")&amp;IF(Vragenlijst!E52="Ja",Vragenlijst!G52,"")&amp;IF(Vragenlijst!E53="Ja",Vragenlijst!G53,"")&amp;IF(Vragenlijst!E131="Ja","Bodem onderzoek",""))</f>
        <v>Geen onderzoek geselecteerd</v>
      </c>
      <c r="F12" s="129"/>
      <c r="G12" s="129"/>
      <c r="H12" s="211"/>
      <c r="I12" s="122"/>
      <c r="J12" s="122"/>
      <c r="K12" s="122"/>
      <c r="L12" s="122"/>
      <c r="M12" s="122"/>
      <c r="N12" s="122"/>
      <c r="O12" s="122"/>
      <c r="P12" s="122"/>
    </row>
    <row r="13" spans="1:117" x14ac:dyDescent="0.25">
      <c r="B13" s="130" t="s">
        <v>134</v>
      </c>
      <c r="C13" s="132"/>
      <c r="D13" s="106">
        <f>'Staffels &amp; Tabellen'!D265</f>
        <v>0</v>
      </c>
      <c r="E13" s="131" t="str">
        <f>IF(Vragenlijst!E42&lt;31,"Suburbaan",IF(Vragenlijst!E42&gt;100,"Hoogstedelijk","Stedelijk"))</f>
        <v>Suburbaan</v>
      </c>
      <c r="F13" s="132"/>
      <c r="G13" s="132"/>
      <c r="H13" s="212"/>
      <c r="I13" s="122"/>
      <c r="J13" s="122"/>
      <c r="K13" s="122"/>
      <c r="L13" s="122"/>
      <c r="M13" s="122"/>
      <c r="N13" s="122"/>
      <c r="O13" s="122"/>
      <c r="P13" s="122"/>
    </row>
    <row r="14" spans="1:117" s="135" customFormat="1" ht="13.35" customHeight="1" thickBot="1" x14ac:dyDescent="0.3">
      <c r="B14" s="136"/>
      <c r="C14" s="137"/>
      <c r="D14" s="137"/>
      <c r="E14" s="116"/>
      <c r="G14" s="138"/>
      <c r="H14" s="220"/>
      <c r="I14" s="220"/>
      <c r="J14" s="220"/>
      <c r="K14" s="134"/>
      <c r="L14" s="139"/>
      <c r="M14" s="213"/>
      <c r="N14" s="214"/>
      <c r="O14" s="140"/>
      <c r="P14" s="139"/>
      <c r="Q14" s="122"/>
      <c r="R14" s="122"/>
      <c r="S14" s="122"/>
      <c r="T14" s="122"/>
      <c r="U14" s="122"/>
      <c r="V14" s="122"/>
      <c r="W14" s="122"/>
      <c r="X14" s="122"/>
      <c r="Y14" s="122"/>
      <c r="Z14" s="122"/>
      <c r="AA14" s="122"/>
      <c r="AB14" s="122"/>
      <c r="AC14" s="122"/>
      <c r="AD14" s="122"/>
      <c r="AE14" s="122"/>
      <c r="AF14" s="122"/>
      <c r="AG14" s="122"/>
      <c r="AH14" s="122"/>
      <c r="AI14" s="122"/>
      <c r="AJ14" s="122"/>
      <c r="AK14" s="122"/>
      <c r="AL14" s="122"/>
      <c r="AM14" s="122"/>
      <c r="AN14" s="122"/>
      <c r="AO14" s="122"/>
      <c r="AP14" s="122"/>
      <c r="AQ14" s="122"/>
    </row>
    <row r="15" spans="1:117" s="141" customFormat="1" ht="15" customHeight="1" thickBot="1" x14ac:dyDescent="0.3">
      <c r="A15" s="135"/>
      <c r="B15" s="263"/>
      <c r="C15" s="264" t="s">
        <v>135</v>
      </c>
      <c r="D15" s="264"/>
      <c r="E15" s="264"/>
      <c r="F15" s="264"/>
      <c r="G15" s="264" t="s">
        <v>136</v>
      </c>
      <c r="H15" s="376" t="s">
        <v>137</v>
      </c>
      <c r="I15" s="264" t="s">
        <v>138</v>
      </c>
      <c r="J15" s="377" t="s">
        <v>139</v>
      </c>
      <c r="K15" s="264" t="s">
        <v>140</v>
      </c>
      <c r="L15" s="264"/>
      <c r="M15" s="378" t="s">
        <v>141</v>
      </c>
      <c r="N15" s="377">
        <f>N17+N70</f>
        <v>0</v>
      </c>
      <c r="O15" s="264" t="s">
        <v>142</v>
      </c>
      <c r="P15" s="379">
        <f>P17+P70</f>
        <v>0</v>
      </c>
      <c r="Q15" s="122"/>
      <c r="R15" s="122"/>
      <c r="S15" s="122"/>
      <c r="T15" s="122"/>
      <c r="U15" s="122"/>
      <c r="V15" s="122"/>
      <c r="W15" s="122"/>
      <c r="X15" s="122"/>
      <c r="Y15" s="122"/>
      <c r="Z15" s="122"/>
      <c r="AA15" s="122"/>
      <c r="AB15" s="122"/>
      <c r="AC15" s="122"/>
      <c r="AD15" s="122"/>
      <c r="AE15" s="122"/>
      <c r="AF15" s="122"/>
      <c r="AG15" s="122"/>
      <c r="AH15" s="122"/>
      <c r="AI15" s="122"/>
      <c r="AJ15" s="122"/>
      <c r="AK15" s="122"/>
      <c r="AL15" s="122"/>
      <c r="AM15" s="122"/>
      <c r="AN15" s="122"/>
      <c r="AO15" s="122"/>
      <c r="AP15" s="122"/>
      <c r="AQ15" s="122"/>
      <c r="AR15" s="135"/>
      <c r="AS15" s="135"/>
      <c r="AT15" s="135"/>
      <c r="AU15" s="135"/>
      <c r="AV15" s="135"/>
      <c r="AW15" s="135"/>
      <c r="AX15" s="135"/>
      <c r="AY15" s="135"/>
      <c r="AZ15" s="135"/>
      <c r="BA15" s="135"/>
      <c r="BB15" s="135"/>
      <c r="BC15" s="135"/>
      <c r="BD15" s="135"/>
      <c r="BE15" s="135"/>
      <c r="BF15" s="135"/>
      <c r="BG15" s="135"/>
      <c r="BH15" s="135"/>
      <c r="BI15" s="135"/>
      <c r="BJ15" s="135"/>
      <c r="BK15" s="135"/>
      <c r="BL15" s="135"/>
      <c r="BM15" s="135"/>
      <c r="BN15" s="135"/>
      <c r="BO15" s="135"/>
      <c r="BP15" s="135"/>
      <c r="BQ15" s="135"/>
      <c r="BR15" s="135"/>
      <c r="BS15" s="135"/>
      <c r="BT15" s="135"/>
      <c r="BU15" s="135"/>
      <c r="BV15" s="135"/>
      <c r="BW15" s="135"/>
      <c r="BX15" s="135"/>
      <c r="BY15" s="135"/>
      <c r="BZ15" s="135"/>
      <c r="CA15" s="135"/>
      <c r="CB15" s="135"/>
      <c r="CC15" s="135"/>
      <c r="CD15" s="135"/>
      <c r="CE15" s="135"/>
      <c r="CF15" s="135"/>
      <c r="CG15" s="135"/>
      <c r="CH15" s="135"/>
      <c r="CI15" s="135"/>
      <c r="CJ15" s="135"/>
      <c r="CK15" s="135"/>
      <c r="CL15" s="135"/>
      <c r="CM15" s="135"/>
      <c r="CN15" s="135"/>
      <c r="CO15" s="135"/>
      <c r="CP15" s="135"/>
      <c r="CQ15" s="135"/>
      <c r="CR15" s="135"/>
      <c r="CS15" s="135"/>
      <c r="CT15" s="135"/>
      <c r="CU15" s="135"/>
      <c r="CV15" s="135"/>
      <c r="CW15" s="135"/>
      <c r="CX15" s="135"/>
      <c r="CY15" s="135"/>
      <c r="CZ15" s="135"/>
      <c r="DA15" s="135"/>
      <c r="DB15" s="135"/>
      <c r="DC15" s="135"/>
      <c r="DD15" s="135"/>
      <c r="DE15" s="135"/>
      <c r="DF15" s="135"/>
      <c r="DG15" s="135"/>
      <c r="DH15" s="135"/>
      <c r="DI15" s="135"/>
      <c r="DJ15" s="135"/>
      <c r="DK15" s="135"/>
      <c r="DL15" s="135"/>
      <c r="DM15" s="135"/>
    </row>
    <row r="16" spans="1:117" s="135" customFormat="1" ht="14.55" customHeight="1" x14ac:dyDescent="0.3">
      <c r="B16" s="142"/>
      <c r="C16" s="143"/>
      <c r="D16" s="143"/>
      <c r="E16" s="144"/>
      <c r="F16" s="145"/>
      <c r="G16" s="146"/>
      <c r="H16" s="108"/>
      <c r="I16" s="147"/>
      <c r="J16" s="221"/>
      <c r="K16" s="148"/>
      <c r="L16" s="139"/>
      <c r="M16" s="215"/>
      <c r="N16" s="216"/>
      <c r="O16" s="588"/>
      <c r="P16" s="149"/>
      <c r="Q16" s="122"/>
      <c r="R16" s="122"/>
      <c r="S16" s="122"/>
      <c r="T16" s="122"/>
      <c r="U16" s="122"/>
      <c r="V16" s="122"/>
      <c r="W16" s="122"/>
      <c r="X16" s="122"/>
      <c r="Y16" s="122"/>
      <c r="Z16" s="122"/>
      <c r="AA16" s="122"/>
      <c r="AB16" s="122"/>
      <c r="AC16" s="122"/>
      <c r="AD16" s="122"/>
      <c r="AE16" s="122"/>
      <c r="AF16" s="122"/>
      <c r="AG16" s="122"/>
      <c r="AH16" s="122"/>
      <c r="AI16" s="122"/>
      <c r="AJ16" s="122"/>
      <c r="AK16" s="122"/>
      <c r="AL16" s="122"/>
      <c r="AM16" s="122"/>
      <c r="AN16" s="122"/>
      <c r="AO16" s="122"/>
      <c r="AP16" s="122"/>
      <c r="AQ16" s="122"/>
    </row>
    <row r="17" spans="1:117" s="155" customFormat="1" ht="16.350000000000001" customHeight="1" x14ac:dyDescent="0.3">
      <c r="A17" s="117"/>
      <c r="B17" s="150">
        <v>1</v>
      </c>
      <c r="C17" s="711" t="s">
        <v>143</v>
      </c>
      <c r="D17" s="711"/>
      <c r="E17" s="712"/>
      <c r="F17" s="145"/>
      <c r="G17" s="151"/>
      <c r="H17" s="109"/>
      <c r="I17" s="152"/>
      <c r="J17" s="222"/>
      <c r="K17" s="395"/>
      <c r="L17" s="145"/>
      <c r="M17" s="358"/>
      <c r="N17" s="359">
        <f>SUM(N20:N67)</f>
        <v>0</v>
      </c>
      <c r="O17" s="589"/>
      <c r="P17" s="360">
        <f>SUM(P20:P67)</f>
        <v>0</v>
      </c>
      <c r="Q17" s="122"/>
      <c r="R17" s="122"/>
      <c r="S17" s="122"/>
      <c r="T17" s="122"/>
      <c r="U17" s="122"/>
      <c r="V17" s="122"/>
      <c r="W17" s="122"/>
      <c r="X17" s="122"/>
      <c r="Y17" s="122"/>
      <c r="Z17" s="122"/>
      <c r="AA17" s="122"/>
      <c r="AB17" s="122"/>
      <c r="AC17" s="122"/>
      <c r="AD17" s="122"/>
      <c r="AE17" s="122"/>
      <c r="AF17" s="122"/>
      <c r="AG17" s="122"/>
      <c r="AH17" s="122"/>
      <c r="AI17" s="122"/>
      <c r="AJ17" s="122"/>
      <c r="AK17" s="122"/>
      <c r="AL17" s="122"/>
      <c r="AM17" s="122"/>
      <c r="AN17" s="122"/>
      <c r="AO17" s="122"/>
      <c r="AP17" s="122"/>
      <c r="AQ17" s="122"/>
      <c r="AR17" s="117"/>
      <c r="AS17" s="117"/>
      <c r="AT17" s="117"/>
      <c r="AU17" s="117"/>
      <c r="AV17" s="117"/>
      <c r="AW17" s="117"/>
      <c r="AX17" s="117"/>
      <c r="AY17" s="117"/>
      <c r="AZ17" s="117"/>
      <c r="BA17" s="117"/>
      <c r="BB17" s="117"/>
      <c r="BC17" s="117"/>
      <c r="BD17" s="117"/>
      <c r="BE17" s="117"/>
      <c r="BF17" s="117"/>
      <c r="BG17" s="117"/>
      <c r="BH17" s="117"/>
      <c r="BI17" s="117"/>
      <c r="BJ17" s="117"/>
      <c r="BK17" s="117"/>
      <c r="BL17" s="117"/>
      <c r="BM17" s="117"/>
      <c r="BN17" s="117"/>
      <c r="BO17" s="117"/>
      <c r="BP17" s="117"/>
      <c r="BQ17" s="117"/>
      <c r="BR17" s="117"/>
      <c r="BS17" s="117"/>
      <c r="BT17" s="117"/>
      <c r="BU17" s="117"/>
      <c r="BV17" s="117"/>
      <c r="BW17" s="117"/>
      <c r="BX17" s="117"/>
      <c r="BY17" s="117"/>
      <c r="BZ17" s="117"/>
      <c r="CA17" s="117"/>
      <c r="CB17" s="117"/>
      <c r="CC17" s="117"/>
      <c r="CD17" s="117"/>
      <c r="CE17" s="117"/>
      <c r="CF17" s="117"/>
      <c r="CG17" s="117"/>
      <c r="CH17" s="117"/>
      <c r="CI17" s="117"/>
      <c r="CJ17" s="117"/>
      <c r="CK17" s="117"/>
      <c r="CL17" s="117"/>
      <c r="CM17" s="117"/>
      <c r="CN17" s="117"/>
      <c r="CO17" s="117"/>
      <c r="CP17" s="117"/>
      <c r="CQ17" s="117"/>
      <c r="CR17" s="117"/>
      <c r="CS17" s="117"/>
      <c r="CT17" s="117"/>
      <c r="CU17" s="117"/>
      <c r="CV17" s="117"/>
      <c r="CW17" s="117"/>
      <c r="CX17" s="117"/>
      <c r="CY17" s="117"/>
      <c r="CZ17" s="117"/>
      <c r="DA17" s="117"/>
      <c r="DB17" s="117"/>
      <c r="DC17" s="117"/>
      <c r="DD17" s="117"/>
      <c r="DE17" s="117"/>
      <c r="DF17" s="117"/>
      <c r="DG17" s="117"/>
      <c r="DH17" s="117"/>
      <c r="DI17" s="117"/>
      <c r="DJ17" s="117"/>
      <c r="DK17" s="117"/>
      <c r="DL17" s="117"/>
      <c r="DM17" s="117"/>
    </row>
    <row r="18" spans="1:117" s="155" customFormat="1" ht="16.350000000000001" customHeight="1" x14ac:dyDescent="0.3">
      <c r="A18" s="117"/>
      <c r="B18" s="150"/>
      <c r="C18" s="638"/>
      <c r="D18" s="638"/>
      <c r="E18" s="639"/>
      <c r="F18" s="145"/>
      <c r="G18" s="151"/>
      <c r="H18" s="109"/>
      <c r="I18" s="152"/>
      <c r="J18" s="222"/>
      <c r="K18" s="395"/>
      <c r="L18" s="145"/>
      <c r="M18" s="358"/>
      <c r="N18" s="359"/>
      <c r="O18" s="589"/>
      <c r="P18" s="360"/>
      <c r="Q18" s="122"/>
      <c r="R18" s="122"/>
      <c r="S18" s="122"/>
      <c r="T18" s="122"/>
      <c r="U18" s="122"/>
      <c r="V18" s="122"/>
      <c r="W18" s="122"/>
      <c r="X18" s="122"/>
      <c r="Y18" s="122"/>
      <c r="Z18" s="122"/>
      <c r="AA18" s="122"/>
      <c r="AB18" s="122"/>
      <c r="AC18" s="122"/>
      <c r="AD18" s="122"/>
      <c r="AE18" s="122"/>
      <c r="AF18" s="122"/>
      <c r="AG18" s="122"/>
      <c r="AH18" s="122"/>
      <c r="AI18" s="122"/>
      <c r="AJ18" s="122"/>
      <c r="AK18" s="122"/>
      <c r="AL18" s="122"/>
      <c r="AM18" s="122"/>
      <c r="AN18" s="122"/>
      <c r="AO18" s="122"/>
      <c r="AP18" s="122"/>
      <c r="AQ18" s="122"/>
      <c r="AR18" s="117"/>
      <c r="AS18" s="117"/>
      <c r="AT18" s="117"/>
      <c r="AU18" s="117"/>
      <c r="AV18" s="117"/>
      <c r="AW18" s="117"/>
      <c r="AX18" s="117"/>
      <c r="AY18" s="117"/>
      <c r="AZ18" s="117"/>
      <c r="BA18" s="117"/>
      <c r="BB18" s="117"/>
      <c r="BC18" s="117"/>
      <c r="BD18" s="117"/>
      <c r="BE18" s="117"/>
      <c r="BF18" s="117"/>
      <c r="BG18" s="117"/>
      <c r="BH18" s="117"/>
      <c r="BI18" s="117"/>
      <c r="BJ18" s="117"/>
      <c r="BK18" s="117"/>
      <c r="BL18" s="117"/>
      <c r="BM18" s="117"/>
      <c r="BN18" s="117"/>
      <c r="BO18" s="117"/>
      <c r="BP18" s="117"/>
      <c r="BQ18" s="117"/>
      <c r="BR18" s="117"/>
      <c r="BS18" s="117"/>
      <c r="BT18" s="117"/>
      <c r="BU18" s="117"/>
      <c r="BV18" s="117"/>
      <c r="BW18" s="117"/>
      <c r="BX18" s="117"/>
      <c r="BY18" s="117"/>
      <c r="BZ18" s="117"/>
      <c r="CA18" s="117"/>
      <c r="CB18" s="117"/>
      <c r="CC18" s="117"/>
      <c r="CD18" s="117"/>
      <c r="CE18" s="117"/>
      <c r="CF18" s="117"/>
      <c r="CG18" s="117"/>
      <c r="CH18" s="117"/>
      <c r="CI18" s="117"/>
      <c r="CJ18" s="117"/>
      <c r="CK18" s="117"/>
      <c r="CL18" s="117"/>
      <c r="CM18" s="117"/>
      <c r="CN18" s="117"/>
      <c r="CO18" s="117"/>
      <c r="CP18" s="117"/>
      <c r="CQ18" s="117"/>
      <c r="CR18" s="117"/>
      <c r="CS18" s="117"/>
      <c r="CT18" s="117"/>
      <c r="CU18" s="117"/>
      <c r="CV18" s="117"/>
      <c r="CW18" s="117"/>
      <c r="CX18" s="117"/>
      <c r="CY18" s="117"/>
      <c r="CZ18" s="117"/>
      <c r="DA18" s="117"/>
      <c r="DB18" s="117"/>
      <c r="DC18" s="117"/>
      <c r="DD18" s="117"/>
      <c r="DE18" s="117"/>
      <c r="DF18" s="117"/>
      <c r="DG18" s="117"/>
      <c r="DH18" s="117"/>
      <c r="DI18" s="117"/>
      <c r="DJ18" s="117"/>
      <c r="DK18" s="117"/>
      <c r="DL18" s="117"/>
      <c r="DM18" s="117"/>
    </row>
    <row r="19" spans="1:117" s="155" customFormat="1" ht="16.350000000000001" customHeight="1" thickBot="1" x14ac:dyDescent="0.35">
      <c r="A19" s="117"/>
      <c r="B19" s="156" t="s">
        <v>144</v>
      </c>
      <c r="C19" s="157" t="s">
        <v>145</v>
      </c>
      <c r="D19" s="638"/>
      <c r="E19" s="639"/>
      <c r="F19" s="145"/>
      <c r="G19" s="151"/>
      <c r="H19" s="109"/>
      <c r="I19" s="152"/>
      <c r="J19" s="222"/>
      <c r="K19" s="395"/>
      <c r="L19" s="145"/>
      <c r="M19" s="358"/>
      <c r="N19" s="359"/>
      <c r="O19" s="589"/>
      <c r="P19" s="360"/>
      <c r="Q19" s="122"/>
      <c r="R19" s="122"/>
      <c r="S19" s="122"/>
      <c r="T19" s="122"/>
      <c r="U19" s="122"/>
      <c r="V19" s="122"/>
      <c r="W19" s="122"/>
      <c r="X19" s="122"/>
      <c r="Y19" s="122"/>
      <c r="Z19" s="122"/>
      <c r="AA19" s="122"/>
      <c r="AB19" s="122"/>
      <c r="AC19" s="122"/>
      <c r="AD19" s="122"/>
      <c r="AE19" s="122"/>
      <c r="AF19" s="122"/>
      <c r="AG19" s="122"/>
      <c r="AH19" s="122"/>
      <c r="AI19" s="122"/>
      <c r="AJ19" s="122"/>
      <c r="AK19" s="122"/>
      <c r="AL19" s="122"/>
      <c r="AM19" s="122"/>
      <c r="AN19" s="122"/>
      <c r="AO19" s="122"/>
      <c r="AP19" s="122"/>
      <c r="AQ19" s="122"/>
      <c r="AR19" s="117"/>
      <c r="AS19" s="117"/>
      <c r="AT19" s="117"/>
      <c r="AU19" s="117"/>
      <c r="AV19" s="117"/>
      <c r="AW19" s="117"/>
      <c r="AX19" s="117"/>
      <c r="AY19" s="117"/>
      <c r="AZ19" s="117"/>
      <c r="BA19" s="117"/>
      <c r="BB19" s="117"/>
      <c r="BC19" s="117"/>
      <c r="BD19" s="117"/>
      <c r="BE19" s="117"/>
      <c r="BF19" s="117"/>
      <c r="BG19" s="117"/>
      <c r="BH19" s="117"/>
      <c r="BI19" s="117"/>
      <c r="BJ19" s="117"/>
      <c r="BK19" s="117"/>
      <c r="BL19" s="117"/>
      <c r="BM19" s="117"/>
      <c r="BN19" s="117"/>
      <c r="BO19" s="117"/>
      <c r="BP19" s="117"/>
      <c r="BQ19" s="117"/>
      <c r="BR19" s="117"/>
      <c r="BS19" s="117"/>
      <c r="BT19" s="117"/>
      <c r="BU19" s="117"/>
      <c r="BV19" s="117"/>
      <c r="BW19" s="117"/>
      <c r="BX19" s="117"/>
      <c r="BY19" s="117"/>
      <c r="BZ19" s="117"/>
      <c r="CA19" s="117"/>
      <c r="CB19" s="117"/>
      <c r="CC19" s="117"/>
      <c r="CD19" s="117"/>
      <c r="CE19" s="117"/>
      <c r="CF19" s="117"/>
      <c r="CG19" s="117"/>
      <c r="CH19" s="117"/>
      <c r="CI19" s="117"/>
      <c r="CJ19" s="117"/>
      <c r="CK19" s="117"/>
      <c r="CL19" s="117"/>
      <c r="CM19" s="117"/>
      <c r="CN19" s="117"/>
      <c r="CO19" s="117"/>
      <c r="CP19" s="117"/>
      <c r="CQ19" s="117"/>
      <c r="CR19" s="117"/>
      <c r="CS19" s="117"/>
      <c r="CT19" s="117"/>
      <c r="CU19" s="117"/>
      <c r="CV19" s="117"/>
      <c r="CW19" s="117"/>
      <c r="CX19" s="117"/>
      <c r="CY19" s="117"/>
      <c r="CZ19" s="117"/>
      <c r="DA19" s="117"/>
      <c r="DB19" s="117"/>
      <c r="DC19" s="117"/>
      <c r="DD19" s="117"/>
      <c r="DE19" s="117"/>
      <c r="DF19" s="117"/>
      <c r="DG19" s="117"/>
      <c r="DH19" s="117"/>
      <c r="DI19" s="117"/>
      <c r="DJ19" s="117"/>
      <c r="DK19" s="117"/>
      <c r="DL19" s="117"/>
      <c r="DM19" s="117"/>
    </row>
    <row r="20" spans="1:117" s="155" customFormat="1" ht="16.350000000000001" customHeight="1" thickBot="1" x14ac:dyDescent="0.35">
      <c r="A20" s="117"/>
      <c r="B20" s="150"/>
      <c r="C20" s="565" t="s">
        <v>146</v>
      </c>
      <c r="D20" s="638"/>
      <c r="E20" s="163" t="s">
        <v>147</v>
      </c>
      <c r="F20" s="145"/>
      <c r="G20" s="166" t="s">
        <v>148</v>
      </c>
      <c r="H20" s="111">
        <v>1</v>
      </c>
      <c r="I20" s="168">
        <f>IF(Vragenlijst!E13='Drop Down '!B3,IF(Vragenlijst!E55="Ja",'Staffels &amp; Tabellen'!D281,'Staffels &amp; Tabellen'!D289),0)</f>
        <v>0</v>
      </c>
      <c r="J20" s="224">
        <f>Uurtarieven!$C$13</f>
        <v>160</v>
      </c>
      <c r="K20" s="380">
        <f>1+SUM($D$8:$D$12)</f>
        <v>1</v>
      </c>
      <c r="L20" s="145"/>
      <c r="M20" s="361">
        <f t="shared" ref="M20:M22" si="0">K20*J20*I20*H20</f>
        <v>0</v>
      </c>
      <c r="N20" s="359"/>
      <c r="O20" s="590">
        <f t="shared" ref="O20:O22" si="1">H20*I20*K20</f>
        <v>0</v>
      </c>
      <c r="P20" s="360"/>
      <c r="Q20" s="122"/>
      <c r="R20" s="71" t="s">
        <v>149</v>
      </c>
      <c r="S20" s="122"/>
      <c r="T20" s="122"/>
      <c r="U20" s="122"/>
      <c r="V20" s="122"/>
      <c r="W20" s="122"/>
      <c r="X20" s="122"/>
      <c r="Y20" s="122"/>
      <c r="Z20" s="122"/>
      <c r="AA20" s="122"/>
      <c r="AB20" s="122"/>
      <c r="AC20" s="122"/>
      <c r="AD20" s="122"/>
      <c r="AE20" s="122"/>
      <c r="AF20" s="122"/>
      <c r="AG20" s="122"/>
      <c r="AH20" s="122"/>
      <c r="AI20" s="122"/>
      <c r="AJ20" s="122"/>
      <c r="AK20" s="122"/>
      <c r="AL20" s="122"/>
      <c r="AM20" s="122"/>
      <c r="AN20" s="122"/>
      <c r="AO20" s="122"/>
      <c r="AP20" s="122"/>
      <c r="AQ20" s="122"/>
      <c r="AR20" s="117"/>
      <c r="AS20" s="117"/>
      <c r="AT20" s="117"/>
      <c r="AU20" s="117"/>
      <c r="AV20" s="117"/>
      <c r="AW20" s="117"/>
      <c r="AX20" s="117"/>
      <c r="AY20" s="117"/>
      <c r="AZ20" s="117"/>
      <c r="BA20" s="117"/>
      <c r="BB20" s="117"/>
      <c r="BC20" s="117"/>
      <c r="BD20" s="117"/>
      <c r="BE20" s="117"/>
      <c r="BF20" s="117"/>
      <c r="BG20" s="117"/>
      <c r="BH20" s="117"/>
      <c r="BI20" s="117"/>
      <c r="BJ20" s="117"/>
      <c r="BK20" s="117"/>
      <c r="BL20" s="117"/>
      <c r="BM20" s="117"/>
      <c r="BN20" s="117"/>
      <c r="BO20" s="117"/>
      <c r="BP20" s="117"/>
      <c r="BQ20" s="117"/>
      <c r="BR20" s="117"/>
      <c r="BS20" s="117"/>
      <c r="BT20" s="117"/>
      <c r="BU20" s="117"/>
      <c r="BV20" s="117"/>
      <c r="BW20" s="117"/>
      <c r="BX20" s="117"/>
      <c r="BY20" s="117"/>
      <c r="BZ20" s="117"/>
      <c r="CA20" s="117"/>
      <c r="CB20" s="117"/>
      <c r="CC20" s="117"/>
      <c r="CD20" s="117"/>
      <c r="CE20" s="117"/>
      <c r="CF20" s="117"/>
      <c r="CG20" s="117"/>
      <c r="CH20" s="117"/>
      <c r="CI20" s="117"/>
      <c r="CJ20" s="117"/>
      <c r="CK20" s="117"/>
      <c r="CL20" s="117"/>
      <c r="CM20" s="117"/>
      <c r="CN20" s="117"/>
      <c r="CO20" s="117"/>
      <c r="CP20" s="117"/>
      <c r="CQ20" s="117"/>
      <c r="CR20" s="117"/>
      <c r="CS20" s="117"/>
      <c r="CT20" s="117"/>
      <c r="CU20" s="117"/>
      <c r="CV20" s="117"/>
      <c r="CW20" s="117"/>
      <c r="CX20" s="117"/>
      <c r="CY20" s="117"/>
      <c r="CZ20" s="117"/>
      <c r="DA20" s="117"/>
      <c r="DB20" s="117"/>
      <c r="DC20" s="117"/>
      <c r="DD20" s="117"/>
      <c r="DE20" s="117"/>
      <c r="DF20" s="117"/>
      <c r="DG20" s="117"/>
      <c r="DH20" s="117"/>
      <c r="DI20" s="117"/>
      <c r="DJ20" s="117"/>
      <c r="DK20" s="117"/>
      <c r="DL20" s="117"/>
      <c r="DM20" s="117"/>
    </row>
    <row r="21" spans="1:117" s="155" customFormat="1" ht="16.350000000000001" customHeight="1" x14ac:dyDescent="0.3">
      <c r="A21" s="117"/>
      <c r="B21" s="150"/>
      <c r="C21" s="638"/>
      <c r="D21" s="638"/>
      <c r="E21" s="639"/>
      <c r="F21" s="145"/>
      <c r="G21" s="166" t="s">
        <v>150</v>
      </c>
      <c r="H21" s="111">
        <v>0.1</v>
      </c>
      <c r="I21" s="168">
        <f>$I$20</f>
        <v>0</v>
      </c>
      <c r="J21" s="224">
        <f>Uurtarieven!$C$11</f>
        <v>181</v>
      </c>
      <c r="K21" s="380">
        <f>1+SUM($D$8:$D$12)</f>
        <v>1</v>
      </c>
      <c r="L21" s="145"/>
      <c r="M21" s="361">
        <f t="shared" si="0"/>
        <v>0</v>
      </c>
      <c r="N21" s="359"/>
      <c r="O21" s="590">
        <f t="shared" si="1"/>
        <v>0</v>
      </c>
      <c r="P21" s="360"/>
      <c r="Q21" s="122"/>
      <c r="R21" s="122"/>
      <c r="S21" s="122"/>
      <c r="T21" s="122"/>
      <c r="U21" s="122"/>
      <c r="V21" s="122"/>
      <c r="W21" s="122"/>
      <c r="X21" s="122"/>
      <c r="Y21" s="122"/>
      <c r="Z21" s="122"/>
      <c r="AA21" s="122"/>
      <c r="AB21" s="122"/>
      <c r="AC21" s="122"/>
      <c r="AD21" s="122"/>
      <c r="AE21" s="122"/>
      <c r="AF21" s="122"/>
      <c r="AG21" s="122"/>
      <c r="AH21" s="122"/>
      <c r="AI21" s="122"/>
      <c r="AJ21" s="122"/>
      <c r="AK21" s="122"/>
      <c r="AL21" s="122"/>
      <c r="AM21" s="122"/>
      <c r="AN21" s="122"/>
      <c r="AO21" s="122"/>
      <c r="AP21" s="122"/>
      <c r="AQ21" s="122"/>
      <c r="AR21" s="117"/>
      <c r="AS21" s="117"/>
      <c r="AT21" s="117"/>
      <c r="AU21" s="117"/>
      <c r="AV21" s="117"/>
      <c r="AW21" s="117"/>
      <c r="AX21" s="117"/>
      <c r="AY21" s="117"/>
      <c r="AZ21" s="117"/>
      <c r="BA21" s="117"/>
      <c r="BB21" s="117"/>
      <c r="BC21" s="117"/>
      <c r="BD21" s="117"/>
      <c r="BE21" s="117"/>
      <c r="BF21" s="117"/>
      <c r="BG21" s="117"/>
      <c r="BH21" s="117"/>
      <c r="BI21" s="117"/>
      <c r="BJ21" s="117"/>
      <c r="BK21" s="117"/>
      <c r="BL21" s="117"/>
      <c r="BM21" s="117"/>
      <c r="BN21" s="117"/>
      <c r="BO21" s="117"/>
      <c r="BP21" s="117"/>
      <c r="BQ21" s="117"/>
      <c r="BR21" s="117"/>
      <c r="BS21" s="117"/>
      <c r="BT21" s="117"/>
      <c r="BU21" s="117"/>
      <c r="BV21" s="117"/>
      <c r="BW21" s="117"/>
      <c r="BX21" s="117"/>
      <c r="BY21" s="117"/>
      <c r="BZ21" s="117"/>
      <c r="CA21" s="117"/>
      <c r="CB21" s="117"/>
      <c r="CC21" s="117"/>
      <c r="CD21" s="117"/>
      <c r="CE21" s="117"/>
      <c r="CF21" s="117"/>
      <c r="CG21" s="117"/>
      <c r="CH21" s="117"/>
      <c r="CI21" s="117"/>
      <c r="CJ21" s="117"/>
      <c r="CK21" s="117"/>
      <c r="CL21" s="117"/>
      <c r="CM21" s="117"/>
      <c r="CN21" s="117"/>
      <c r="CO21" s="117"/>
      <c r="CP21" s="117"/>
      <c r="CQ21" s="117"/>
      <c r="CR21" s="117"/>
      <c r="CS21" s="117"/>
      <c r="CT21" s="117"/>
      <c r="CU21" s="117"/>
      <c r="CV21" s="117"/>
      <c r="CW21" s="117"/>
      <c r="CX21" s="117"/>
      <c r="CY21" s="117"/>
      <c r="CZ21" s="117"/>
      <c r="DA21" s="117"/>
      <c r="DB21" s="117"/>
      <c r="DC21" s="117"/>
      <c r="DD21" s="117"/>
      <c r="DE21" s="117"/>
      <c r="DF21" s="117"/>
      <c r="DG21" s="117"/>
      <c r="DH21" s="117"/>
      <c r="DI21" s="117"/>
      <c r="DJ21" s="117"/>
      <c r="DK21" s="117"/>
      <c r="DL21" s="117"/>
      <c r="DM21" s="117"/>
    </row>
    <row r="22" spans="1:117" s="155" customFormat="1" ht="16.350000000000001" customHeight="1" x14ac:dyDescent="0.3">
      <c r="A22" s="117"/>
      <c r="B22" s="150"/>
      <c r="C22" s="638"/>
      <c r="D22" s="638"/>
      <c r="E22" s="639"/>
      <c r="F22" s="145"/>
      <c r="G22" s="166" t="s">
        <v>151</v>
      </c>
      <c r="H22" s="111">
        <v>0.01</v>
      </c>
      <c r="I22" s="168">
        <f>$I$20</f>
        <v>0</v>
      </c>
      <c r="J22" s="226">
        <f>Uurtarieven!$C$8</f>
        <v>126</v>
      </c>
      <c r="K22" s="380">
        <f>1+SUM($D$8:$D$12)</f>
        <v>1</v>
      </c>
      <c r="L22" s="145"/>
      <c r="M22" s="426">
        <f t="shared" si="0"/>
        <v>0</v>
      </c>
      <c r="N22" s="432"/>
      <c r="O22" s="427">
        <f t="shared" si="1"/>
        <v>0</v>
      </c>
      <c r="P22" s="430"/>
      <c r="Q22" s="122"/>
      <c r="R22" s="122"/>
      <c r="S22" s="122"/>
      <c r="T22" s="122"/>
      <c r="U22" s="122"/>
      <c r="V22" s="122"/>
      <c r="W22" s="122"/>
      <c r="X22" s="122"/>
      <c r="Y22" s="122"/>
      <c r="Z22" s="122"/>
      <c r="AA22" s="122"/>
      <c r="AB22" s="122"/>
      <c r="AC22" s="122"/>
      <c r="AD22" s="122"/>
      <c r="AE22" s="122"/>
      <c r="AF22" s="122"/>
      <c r="AG22" s="122"/>
      <c r="AH22" s="122"/>
      <c r="AI22" s="122"/>
      <c r="AJ22" s="122"/>
      <c r="AK22" s="122"/>
      <c r="AL22" s="122"/>
      <c r="AM22" s="122"/>
      <c r="AN22" s="122"/>
      <c r="AO22" s="122"/>
      <c r="AP22" s="122"/>
      <c r="AQ22" s="122"/>
      <c r="AR22" s="117"/>
      <c r="AS22" s="117"/>
      <c r="AT22" s="117"/>
      <c r="AU22" s="117"/>
      <c r="AV22" s="117"/>
      <c r="AW22" s="117"/>
      <c r="AX22" s="117"/>
      <c r="AY22" s="117"/>
      <c r="AZ22" s="117"/>
      <c r="BA22" s="117"/>
      <c r="BB22" s="117"/>
      <c r="BC22" s="117"/>
      <c r="BD22" s="117"/>
      <c r="BE22" s="117"/>
      <c r="BF22" s="117"/>
      <c r="BG22" s="117"/>
      <c r="BH22" s="117"/>
      <c r="BI22" s="117"/>
      <c r="BJ22" s="117"/>
      <c r="BK22" s="117"/>
      <c r="BL22" s="117"/>
      <c r="BM22" s="117"/>
      <c r="BN22" s="117"/>
      <c r="BO22" s="117"/>
      <c r="BP22" s="117"/>
      <c r="BQ22" s="117"/>
      <c r="BR22" s="117"/>
      <c r="BS22" s="117"/>
      <c r="BT22" s="117"/>
      <c r="BU22" s="117"/>
      <c r="BV22" s="117"/>
      <c r="BW22" s="117"/>
      <c r="BX22" s="117"/>
      <c r="BY22" s="117"/>
      <c r="BZ22" s="117"/>
      <c r="CA22" s="117"/>
      <c r="CB22" s="117"/>
      <c r="CC22" s="117"/>
      <c r="CD22" s="117"/>
      <c r="CE22" s="117"/>
      <c r="CF22" s="117"/>
      <c r="CG22" s="117"/>
      <c r="CH22" s="117"/>
      <c r="CI22" s="117"/>
      <c r="CJ22" s="117"/>
      <c r="CK22" s="117"/>
      <c r="CL22" s="117"/>
      <c r="CM22" s="117"/>
      <c r="CN22" s="117"/>
      <c r="CO22" s="117"/>
      <c r="CP22" s="117"/>
      <c r="CQ22" s="117"/>
      <c r="CR22" s="117"/>
      <c r="CS22" s="117"/>
      <c r="CT22" s="117"/>
      <c r="CU22" s="117"/>
      <c r="CV22" s="117"/>
      <c r="CW22" s="117"/>
      <c r="CX22" s="117"/>
      <c r="CY22" s="117"/>
      <c r="CZ22" s="117"/>
      <c r="DA22" s="117"/>
      <c r="DB22" s="117"/>
      <c r="DC22" s="117"/>
      <c r="DD22" s="117"/>
      <c r="DE22" s="117"/>
      <c r="DF22" s="117"/>
      <c r="DG22" s="117"/>
      <c r="DH22" s="117"/>
      <c r="DI22" s="117"/>
      <c r="DJ22" s="117"/>
      <c r="DK22" s="117"/>
      <c r="DL22" s="117"/>
      <c r="DM22" s="117"/>
    </row>
    <row r="23" spans="1:117" s="155" customFormat="1" ht="16.350000000000001" customHeight="1" x14ac:dyDescent="0.3">
      <c r="A23" s="117"/>
      <c r="B23" s="150"/>
      <c r="C23" s="382"/>
      <c r="D23" s="382"/>
      <c r="E23" s="144"/>
      <c r="F23" s="145"/>
      <c r="G23" s="151"/>
      <c r="H23" s="109"/>
      <c r="I23" s="152"/>
      <c r="J23" s="222"/>
      <c r="K23" s="395"/>
      <c r="L23" s="145"/>
      <c r="M23" s="361"/>
      <c r="N23" s="364">
        <f>SUM(M20:M22)</f>
        <v>0</v>
      </c>
      <c r="O23" s="590"/>
      <c r="P23" s="365">
        <f>SUM(O20:O22)</f>
        <v>0</v>
      </c>
      <c r="Q23" s="122"/>
      <c r="R23" s="122"/>
      <c r="S23" s="122"/>
      <c r="T23" s="122"/>
      <c r="U23" s="122"/>
      <c r="V23" s="122"/>
      <c r="W23" s="122"/>
      <c r="X23" s="122"/>
      <c r="Y23" s="122"/>
      <c r="Z23" s="122"/>
      <c r="AA23" s="122"/>
      <c r="AB23" s="122"/>
      <c r="AC23" s="122"/>
      <c r="AD23" s="122"/>
      <c r="AE23" s="122"/>
      <c r="AF23" s="122"/>
      <c r="AG23" s="122"/>
      <c r="AH23" s="122"/>
      <c r="AI23" s="122"/>
      <c r="AJ23" s="122"/>
      <c r="AK23" s="122"/>
      <c r="AL23" s="122"/>
      <c r="AM23" s="122"/>
      <c r="AN23" s="122"/>
      <c r="AO23" s="122"/>
      <c r="AP23" s="122"/>
      <c r="AQ23" s="122"/>
      <c r="AR23" s="117"/>
      <c r="AS23" s="117"/>
      <c r="AT23" s="117"/>
      <c r="AU23" s="117"/>
      <c r="AV23" s="117"/>
      <c r="AW23" s="117"/>
      <c r="AX23" s="117"/>
      <c r="AY23" s="117"/>
      <c r="AZ23" s="117"/>
      <c r="BA23" s="117"/>
      <c r="BB23" s="117"/>
      <c r="BC23" s="117"/>
      <c r="BD23" s="117"/>
      <c r="BE23" s="117"/>
      <c r="BF23" s="117"/>
      <c r="BG23" s="117"/>
      <c r="BH23" s="117"/>
      <c r="BI23" s="117"/>
      <c r="BJ23" s="117"/>
      <c r="BK23" s="117"/>
      <c r="BL23" s="117"/>
      <c r="BM23" s="117"/>
      <c r="BN23" s="117"/>
      <c r="BO23" s="117"/>
      <c r="BP23" s="117"/>
      <c r="BQ23" s="117"/>
      <c r="BR23" s="117"/>
      <c r="BS23" s="117"/>
      <c r="BT23" s="117"/>
      <c r="BU23" s="117"/>
      <c r="BV23" s="117"/>
      <c r="BW23" s="117"/>
      <c r="BX23" s="117"/>
      <c r="BY23" s="117"/>
      <c r="BZ23" s="117"/>
      <c r="CA23" s="117"/>
      <c r="CB23" s="117"/>
      <c r="CC23" s="117"/>
      <c r="CD23" s="117"/>
      <c r="CE23" s="117"/>
      <c r="CF23" s="117"/>
      <c r="CG23" s="117"/>
      <c r="CH23" s="117"/>
      <c r="CI23" s="117"/>
      <c r="CJ23" s="117"/>
      <c r="CK23" s="117"/>
      <c r="CL23" s="117"/>
      <c r="CM23" s="117"/>
      <c r="CN23" s="117"/>
      <c r="CO23" s="117"/>
      <c r="CP23" s="117"/>
      <c r="CQ23" s="117"/>
      <c r="CR23" s="117"/>
      <c r="CS23" s="117"/>
      <c r="CT23" s="117"/>
      <c r="CU23" s="117"/>
      <c r="CV23" s="117"/>
      <c r="CW23" s="117"/>
      <c r="CX23" s="117"/>
      <c r="CY23" s="117"/>
      <c r="CZ23" s="117"/>
      <c r="DA23" s="117"/>
      <c r="DB23" s="117"/>
      <c r="DC23" s="117"/>
      <c r="DD23" s="117"/>
      <c r="DE23" s="117"/>
      <c r="DF23" s="117"/>
      <c r="DG23" s="117"/>
      <c r="DH23" s="117"/>
      <c r="DI23" s="117"/>
      <c r="DJ23" s="117"/>
      <c r="DK23" s="117"/>
      <c r="DL23" s="117"/>
      <c r="DM23" s="117"/>
    </row>
    <row r="24" spans="1:117" s="155" customFormat="1" ht="16.350000000000001" customHeight="1" thickBot="1" x14ac:dyDescent="0.3">
      <c r="A24" s="117"/>
      <c r="B24" s="156" t="s">
        <v>144</v>
      </c>
      <c r="C24" s="157" t="s">
        <v>152</v>
      </c>
      <c r="D24" s="157"/>
      <c r="E24" s="158"/>
      <c r="F24" s="145"/>
      <c r="G24" s="159"/>
      <c r="H24" s="107"/>
      <c r="I24" s="160"/>
      <c r="J24" s="222"/>
      <c r="K24" s="395"/>
      <c r="L24" s="145"/>
      <c r="M24" s="358"/>
      <c r="O24" s="589"/>
      <c r="P24" s="363"/>
      <c r="Q24" s="122"/>
      <c r="R24" s="122"/>
      <c r="S24" s="122"/>
      <c r="T24" s="122"/>
      <c r="U24" s="122"/>
      <c r="V24" s="122"/>
      <c r="W24" s="122"/>
      <c r="X24" s="122"/>
      <c r="Y24" s="122"/>
      <c r="Z24" s="122"/>
      <c r="AA24" s="122"/>
      <c r="AB24" s="122"/>
      <c r="AC24" s="122"/>
      <c r="AD24" s="122"/>
      <c r="AE24" s="122"/>
      <c r="AF24" s="122"/>
      <c r="AG24" s="122"/>
      <c r="AH24" s="122"/>
      <c r="AI24" s="122"/>
      <c r="AJ24" s="122"/>
      <c r="AK24" s="122"/>
      <c r="AL24" s="122"/>
      <c r="AM24" s="122"/>
      <c r="AN24" s="122"/>
      <c r="AO24" s="122"/>
      <c r="AP24" s="122"/>
      <c r="AQ24" s="122"/>
      <c r="AR24" s="117"/>
      <c r="AS24" s="117"/>
      <c r="AT24" s="117"/>
      <c r="AU24" s="117"/>
      <c r="AV24" s="117"/>
      <c r="AW24" s="117"/>
      <c r="AX24" s="117"/>
      <c r="AY24" s="117"/>
      <c r="AZ24" s="117"/>
      <c r="BA24" s="117"/>
      <c r="BB24" s="117"/>
      <c r="BC24" s="117"/>
      <c r="BD24" s="117"/>
      <c r="BE24" s="117"/>
      <c r="BF24" s="117"/>
      <c r="BG24" s="117"/>
      <c r="BH24" s="117"/>
      <c r="BI24" s="117"/>
      <c r="BJ24" s="117"/>
      <c r="BK24" s="117"/>
      <c r="BL24" s="117"/>
      <c r="BM24" s="117"/>
      <c r="BN24" s="117"/>
      <c r="BO24" s="117"/>
      <c r="BP24" s="117"/>
      <c r="BQ24" s="117"/>
      <c r="BR24" s="117"/>
      <c r="BS24" s="117"/>
      <c r="BT24" s="117"/>
      <c r="BU24" s="117"/>
      <c r="BV24" s="117"/>
      <c r="BW24" s="117"/>
      <c r="BX24" s="117"/>
      <c r="BY24" s="117"/>
      <c r="BZ24" s="117"/>
      <c r="CA24" s="117"/>
      <c r="CB24" s="117"/>
      <c r="CC24" s="117"/>
      <c r="CD24" s="117"/>
      <c r="CE24" s="117"/>
      <c r="CF24" s="117"/>
      <c r="CG24" s="117"/>
      <c r="CH24" s="117"/>
      <c r="CI24" s="117"/>
      <c r="CJ24" s="117"/>
      <c r="CK24" s="117"/>
      <c r="CL24" s="117"/>
      <c r="CM24" s="117"/>
      <c r="CN24" s="117"/>
      <c r="CO24" s="117"/>
      <c r="CP24" s="117"/>
      <c r="CQ24" s="117"/>
      <c r="CR24" s="117"/>
      <c r="CS24" s="117"/>
      <c r="CT24" s="117"/>
      <c r="CU24" s="117"/>
      <c r="CV24" s="117"/>
      <c r="CW24" s="117"/>
      <c r="CX24" s="117"/>
      <c r="CY24" s="117"/>
      <c r="CZ24" s="117"/>
      <c r="DA24" s="117"/>
      <c r="DB24" s="117"/>
      <c r="DC24" s="117"/>
      <c r="DD24" s="117"/>
      <c r="DE24" s="117"/>
      <c r="DF24" s="117"/>
      <c r="DG24" s="117"/>
      <c r="DH24" s="117"/>
      <c r="DI24" s="117"/>
      <c r="DJ24" s="117"/>
      <c r="DK24" s="117"/>
      <c r="DL24" s="117"/>
      <c r="DM24" s="117"/>
    </row>
    <row r="25" spans="1:117" s="155" customFormat="1" ht="14.4" thickBot="1" x14ac:dyDescent="0.3">
      <c r="A25" s="117"/>
      <c r="B25" s="161"/>
      <c r="C25" s="565" t="s">
        <v>146</v>
      </c>
      <c r="D25" s="565"/>
      <c r="E25" s="163" t="s">
        <v>153</v>
      </c>
      <c r="F25" s="145"/>
      <c r="G25" s="164" t="s">
        <v>154</v>
      </c>
      <c r="H25" s="82">
        <f>IF(Vragenlijst!E13='Drop Down '!B2,IF(Vragenlijst!E61='Drop Down '!B23,100%,0%),100%)</f>
        <v>0</v>
      </c>
      <c r="I25" s="165">
        <f>IF(Vragenlijst!E13='Drop Down '!B2,'Staffels &amp; Tabellen'!D57,'Staffels &amp; Tabellen'!G57)</f>
        <v>100</v>
      </c>
      <c r="J25" s="223">
        <f>Uurtarieven!$C$9</f>
        <v>160</v>
      </c>
      <c r="K25" s="380">
        <f t="shared" ref="K25:K30" si="2">1+SUM($D$8:$D$12)</f>
        <v>1</v>
      </c>
      <c r="L25" s="145"/>
      <c r="M25" s="361">
        <f t="shared" ref="M25:M30" si="3">K25*J25*I25*H25</f>
        <v>0</v>
      </c>
      <c r="N25" s="359"/>
      <c r="O25" s="590">
        <f t="shared" ref="O25:O30" si="4">H25*I25*K25</f>
        <v>0</v>
      </c>
      <c r="P25" s="360"/>
      <c r="Q25" s="122"/>
      <c r="R25" s="71" t="s">
        <v>149</v>
      </c>
      <c r="S25" s="122"/>
      <c r="T25" s="122"/>
      <c r="U25" s="122"/>
      <c r="V25" s="122"/>
      <c r="W25" s="122"/>
      <c r="X25" s="122"/>
      <c r="Y25" s="122"/>
      <c r="Z25" s="122"/>
      <c r="AA25" s="122"/>
      <c r="AB25" s="122"/>
      <c r="AC25" s="122"/>
      <c r="AD25" s="122"/>
      <c r="AE25" s="122"/>
      <c r="AF25" s="122"/>
      <c r="AG25" s="122"/>
      <c r="AH25" s="122"/>
      <c r="AI25" s="122"/>
      <c r="AJ25" s="122"/>
      <c r="AK25" s="122"/>
      <c r="AL25" s="122"/>
      <c r="AM25" s="122"/>
      <c r="AN25" s="122"/>
      <c r="AO25" s="122"/>
      <c r="AP25" s="122"/>
      <c r="AQ25" s="122"/>
      <c r="AR25" s="117"/>
      <c r="AS25" s="117"/>
      <c r="AT25" s="117"/>
      <c r="AU25" s="117"/>
      <c r="AV25" s="117"/>
      <c r="AW25" s="117"/>
      <c r="AX25" s="117"/>
      <c r="AY25" s="117"/>
      <c r="AZ25" s="117"/>
      <c r="BA25" s="117"/>
      <c r="BB25" s="117"/>
      <c r="BC25" s="117"/>
      <c r="BD25" s="117"/>
      <c r="BE25" s="117"/>
      <c r="BF25" s="117"/>
      <c r="BG25" s="117"/>
      <c r="BH25" s="117"/>
      <c r="BI25" s="117"/>
      <c r="BJ25" s="117"/>
      <c r="BK25" s="117"/>
      <c r="BL25" s="117"/>
      <c r="BM25" s="117"/>
      <c r="BN25" s="117"/>
      <c r="BO25" s="117"/>
      <c r="BP25" s="117"/>
      <c r="BQ25" s="117"/>
      <c r="BR25" s="117"/>
      <c r="BS25" s="117"/>
      <c r="BT25" s="117"/>
      <c r="BU25" s="117"/>
      <c r="BV25" s="117"/>
      <c r="BW25" s="117"/>
      <c r="BX25" s="117"/>
      <c r="BY25" s="117"/>
      <c r="BZ25" s="117"/>
      <c r="CA25" s="117"/>
      <c r="CB25" s="117"/>
      <c r="CC25" s="117"/>
      <c r="CD25" s="117"/>
      <c r="CE25" s="117"/>
      <c r="CF25" s="117"/>
      <c r="CG25" s="117"/>
      <c r="CH25" s="117"/>
      <c r="CI25" s="117"/>
      <c r="CJ25" s="117"/>
      <c r="CK25" s="117"/>
      <c r="CL25" s="117"/>
      <c r="CM25" s="117"/>
      <c r="CN25" s="117"/>
      <c r="CO25" s="117"/>
      <c r="CP25" s="117"/>
      <c r="CQ25" s="117"/>
      <c r="CR25" s="117"/>
      <c r="CS25" s="117"/>
      <c r="CT25" s="117"/>
      <c r="CU25" s="117"/>
      <c r="CV25" s="117"/>
      <c r="CW25" s="117"/>
      <c r="CX25" s="117"/>
      <c r="CY25" s="117"/>
      <c r="CZ25" s="117"/>
      <c r="DA25" s="117"/>
      <c r="DB25" s="117"/>
      <c r="DC25" s="117"/>
      <c r="DD25" s="117"/>
      <c r="DE25" s="117"/>
      <c r="DF25" s="117"/>
      <c r="DG25" s="117"/>
      <c r="DH25" s="117"/>
      <c r="DI25" s="117"/>
      <c r="DJ25" s="117"/>
      <c r="DK25" s="117"/>
      <c r="DL25" s="117"/>
      <c r="DM25" s="117"/>
    </row>
    <row r="26" spans="1:117" s="155" customFormat="1" ht="16.350000000000001" customHeight="1" x14ac:dyDescent="0.25">
      <c r="A26" s="117"/>
      <c r="B26" s="161"/>
      <c r="C26" s="162"/>
      <c r="D26" s="162"/>
      <c r="E26" s="163"/>
      <c r="F26" s="145"/>
      <c r="G26" s="166" t="s">
        <v>150</v>
      </c>
      <c r="H26" s="653">
        <f>'Staffels &amp; Tabellen'!$E$317</f>
        <v>0</v>
      </c>
      <c r="I26" s="546">
        <f>'Staffels &amp; Tabellen'!K299*$H$25</f>
        <v>0</v>
      </c>
      <c r="J26" s="224">
        <f>Uurtarieven!$C$11</f>
        <v>181</v>
      </c>
      <c r="K26" s="380">
        <f t="shared" si="2"/>
        <v>1</v>
      </c>
      <c r="L26" s="167"/>
      <c r="M26" s="361">
        <f t="shared" si="3"/>
        <v>0</v>
      </c>
      <c r="N26" s="362"/>
      <c r="O26" s="590">
        <f t="shared" si="4"/>
        <v>0</v>
      </c>
      <c r="P26" s="363"/>
      <c r="Q26" s="122"/>
      <c r="R26" s="122"/>
      <c r="S26" s="122"/>
      <c r="T26" s="122"/>
      <c r="U26" s="122"/>
      <c r="V26" s="122"/>
      <c r="W26" s="122"/>
      <c r="X26" s="122"/>
      <c r="Y26" s="122"/>
      <c r="Z26" s="122"/>
      <c r="AA26" s="122"/>
      <c r="AB26" s="122"/>
      <c r="AC26" s="122"/>
      <c r="AD26" s="122"/>
      <c r="AE26" s="122"/>
      <c r="AF26" s="122"/>
      <c r="AG26" s="122"/>
      <c r="AH26" s="122"/>
      <c r="AI26" s="122"/>
      <c r="AJ26" s="122"/>
      <c r="AK26" s="122"/>
      <c r="AL26" s="122"/>
      <c r="AM26" s="122"/>
      <c r="AN26" s="122"/>
      <c r="AO26" s="122"/>
      <c r="AP26" s="122"/>
      <c r="AQ26" s="122"/>
      <c r="AR26" s="117"/>
      <c r="AS26" s="117"/>
      <c r="AT26" s="117"/>
      <c r="AU26" s="117"/>
      <c r="AV26" s="117"/>
      <c r="AW26" s="117"/>
      <c r="AX26" s="117"/>
      <c r="AY26" s="117"/>
      <c r="AZ26" s="117"/>
      <c r="BA26" s="117"/>
      <c r="BB26" s="117"/>
      <c r="BC26" s="117"/>
      <c r="BD26" s="117"/>
      <c r="BE26" s="117"/>
      <c r="BF26" s="117"/>
      <c r="BG26" s="117"/>
      <c r="BH26" s="117"/>
      <c r="BI26" s="117"/>
      <c r="BJ26" s="117"/>
      <c r="BK26" s="117"/>
      <c r="BL26" s="117"/>
      <c r="BM26" s="117"/>
      <c r="BN26" s="117"/>
      <c r="BO26" s="117"/>
      <c r="BP26" s="117"/>
      <c r="BQ26" s="117"/>
      <c r="BR26" s="117"/>
      <c r="BS26" s="117"/>
      <c r="BT26" s="117"/>
      <c r="BU26" s="117"/>
      <c r="BV26" s="117"/>
      <c r="BW26" s="117"/>
      <c r="BX26" s="117"/>
      <c r="BY26" s="117"/>
      <c r="BZ26" s="117"/>
      <c r="CA26" s="117"/>
      <c r="CB26" s="117"/>
      <c r="CC26" s="117"/>
      <c r="CD26" s="117"/>
      <c r="CE26" s="117"/>
      <c r="CF26" s="117"/>
      <c r="CG26" s="117"/>
      <c r="CH26" s="117"/>
      <c r="CI26" s="117"/>
      <c r="CJ26" s="117"/>
      <c r="CK26" s="117"/>
      <c r="CL26" s="117"/>
      <c r="CM26" s="117"/>
      <c r="CN26" s="117"/>
      <c r="CO26" s="117"/>
      <c r="CP26" s="117"/>
      <c r="CQ26" s="117"/>
      <c r="CR26" s="117"/>
      <c r="CS26" s="117"/>
      <c r="CT26" s="117"/>
      <c r="CU26" s="117"/>
      <c r="CV26" s="117"/>
      <c r="CW26" s="117"/>
      <c r="CX26" s="117"/>
      <c r="CY26" s="117"/>
      <c r="CZ26" s="117"/>
      <c r="DA26" s="117"/>
      <c r="DB26" s="117"/>
      <c r="DC26" s="117"/>
      <c r="DD26" s="117"/>
      <c r="DE26" s="117"/>
      <c r="DF26" s="117"/>
      <c r="DG26" s="117"/>
      <c r="DH26" s="117"/>
      <c r="DI26" s="117"/>
      <c r="DJ26" s="117"/>
      <c r="DK26" s="117"/>
      <c r="DL26" s="117"/>
      <c r="DM26" s="117"/>
    </row>
    <row r="27" spans="1:117" s="155" customFormat="1" ht="16.350000000000001" customHeight="1" x14ac:dyDescent="0.25">
      <c r="A27" s="117"/>
      <c r="B27" s="161"/>
      <c r="C27" s="162"/>
      <c r="D27" s="162"/>
      <c r="E27" s="163"/>
      <c r="F27" s="145"/>
      <c r="G27" s="166" t="s">
        <v>155</v>
      </c>
      <c r="H27" s="653">
        <f>'Staffels &amp; Tabellen'!$E$317</f>
        <v>0</v>
      </c>
      <c r="I27" s="546">
        <f>'Staffels &amp; Tabellen'!K300*$H$25</f>
        <v>0</v>
      </c>
      <c r="J27" s="224">
        <f>Uurtarieven!$C$13</f>
        <v>160</v>
      </c>
      <c r="K27" s="380">
        <f t="shared" si="2"/>
        <v>1</v>
      </c>
      <c r="L27" s="167"/>
      <c r="M27" s="361">
        <f t="shared" si="3"/>
        <v>0</v>
      </c>
      <c r="N27" s="362"/>
      <c r="O27" s="590">
        <f t="shared" si="4"/>
        <v>0</v>
      </c>
      <c r="P27" s="363"/>
      <c r="Q27" s="122"/>
      <c r="R27" s="122"/>
      <c r="S27" s="122"/>
      <c r="T27" s="122"/>
      <c r="U27" s="122"/>
      <c r="V27" s="122"/>
      <c r="W27" s="122"/>
      <c r="X27" s="122"/>
      <c r="Y27" s="122"/>
      <c r="Z27" s="122"/>
      <c r="AA27" s="122"/>
      <c r="AB27" s="122"/>
      <c r="AC27" s="122"/>
      <c r="AD27" s="122"/>
      <c r="AE27" s="122"/>
      <c r="AF27" s="122"/>
      <c r="AG27" s="122"/>
      <c r="AH27" s="122"/>
      <c r="AI27" s="122"/>
      <c r="AJ27" s="122"/>
      <c r="AK27" s="122"/>
      <c r="AL27" s="122"/>
      <c r="AM27" s="122"/>
      <c r="AN27" s="122"/>
      <c r="AO27" s="122"/>
      <c r="AP27" s="122"/>
      <c r="AQ27" s="122"/>
      <c r="AR27" s="117"/>
      <c r="AS27" s="117"/>
      <c r="AT27" s="117"/>
      <c r="AU27" s="117"/>
      <c r="AV27" s="117"/>
      <c r="AW27" s="117"/>
      <c r="AX27" s="117"/>
      <c r="AY27" s="117"/>
      <c r="AZ27" s="117"/>
      <c r="BA27" s="117"/>
      <c r="BB27" s="117"/>
      <c r="BC27" s="117"/>
      <c r="BD27" s="117"/>
      <c r="BE27" s="117"/>
      <c r="BF27" s="117"/>
      <c r="BG27" s="117"/>
      <c r="BH27" s="117"/>
      <c r="BI27" s="117"/>
      <c r="BJ27" s="117"/>
      <c r="BK27" s="117"/>
      <c r="BL27" s="117"/>
      <c r="BM27" s="117"/>
      <c r="BN27" s="117"/>
      <c r="BO27" s="117"/>
      <c r="BP27" s="117"/>
      <c r="BQ27" s="117"/>
      <c r="BR27" s="117"/>
      <c r="BS27" s="117"/>
      <c r="BT27" s="117"/>
      <c r="BU27" s="117"/>
      <c r="BV27" s="117"/>
      <c r="BW27" s="117"/>
      <c r="BX27" s="117"/>
      <c r="BY27" s="117"/>
      <c r="BZ27" s="117"/>
      <c r="CA27" s="117"/>
      <c r="CB27" s="117"/>
      <c r="CC27" s="117"/>
      <c r="CD27" s="117"/>
      <c r="CE27" s="117"/>
      <c r="CF27" s="117"/>
      <c r="CG27" s="117"/>
      <c r="CH27" s="117"/>
      <c r="CI27" s="117"/>
      <c r="CJ27" s="117"/>
      <c r="CK27" s="117"/>
      <c r="CL27" s="117"/>
      <c r="CM27" s="117"/>
      <c r="CN27" s="117"/>
      <c r="CO27" s="117"/>
      <c r="CP27" s="117"/>
      <c r="CQ27" s="117"/>
      <c r="CR27" s="117"/>
      <c r="CS27" s="117"/>
      <c r="CT27" s="117"/>
      <c r="CU27" s="117"/>
      <c r="CV27" s="117"/>
      <c r="CW27" s="117"/>
      <c r="CX27" s="117"/>
      <c r="CY27" s="117"/>
      <c r="CZ27" s="117"/>
      <c r="DA27" s="117"/>
      <c r="DB27" s="117"/>
      <c r="DC27" s="117"/>
      <c r="DD27" s="117"/>
      <c r="DE27" s="117"/>
      <c r="DF27" s="117"/>
      <c r="DG27" s="117"/>
      <c r="DH27" s="117"/>
      <c r="DI27" s="117"/>
      <c r="DJ27" s="117"/>
      <c r="DK27" s="117"/>
      <c r="DL27" s="117"/>
      <c r="DM27" s="117"/>
    </row>
    <row r="28" spans="1:117" s="155" customFormat="1" ht="16.350000000000001" customHeight="1" x14ac:dyDescent="0.25">
      <c r="A28" s="117"/>
      <c r="B28" s="161"/>
      <c r="C28" s="162"/>
      <c r="D28" s="162"/>
      <c r="E28" s="163"/>
      <c r="F28" s="145"/>
      <c r="G28" s="166" t="s">
        <v>156</v>
      </c>
      <c r="H28" s="653">
        <f>'Staffels &amp; Tabellen'!$E$317</f>
        <v>0</v>
      </c>
      <c r="I28" s="546">
        <f>'Staffels &amp; Tabellen'!K301*$H$25</f>
        <v>0</v>
      </c>
      <c r="J28" s="224">
        <f>Uurtarieven!$C$10</f>
        <v>160</v>
      </c>
      <c r="K28" s="380">
        <f t="shared" si="2"/>
        <v>1</v>
      </c>
      <c r="L28" s="167"/>
      <c r="M28" s="361">
        <f t="shared" si="3"/>
        <v>0</v>
      </c>
      <c r="N28" s="362"/>
      <c r="O28" s="590">
        <f t="shared" si="4"/>
        <v>0</v>
      </c>
      <c r="P28" s="360"/>
      <c r="Q28" s="122"/>
      <c r="R28" s="122"/>
      <c r="S28" s="122"/>
      <c r="T28" s="122"/>
      <c r="U28" s="122"/>
      <c r="V28" s="122"/>
      <c r="W28" s="122"/>
      <c r="X28" s="122"/>
      <c r="Y28" s="122"/>
      <c r="Z28" s="122"/>
      <c r="AA28" s="122"/>
      <c r="AB28" s="122"/>
      <c r="AC28" s="122"/>
      <c r="AD28" s="122"/>
      <c r="AE28" s="122"/>
      <c r="AF28" s="122"/>
      <c r="AG28" s="122"/>
      <c r="AH28" s="122"/>
      <c r="AI28" s="122"/>
      <c r="AJ28" s="122"/>
      <c r="AK28" s="122"/>
      <c r="AL28" s="122"/>
      <c r="AM28" s="122"/>
      <c r="AN28" s="122"/>
      <c r="AO28" s="122"/>
      <c r="AP28" s="122"/>
      <c r="AQ28" s="122"/>
      <c r="AR28" s="117"/>
      <c r="AS28" s="117"/>
      <c r="AT28" s="117"/>
      <c r="AU28" s="117"/>
      <c r="AV28" s="117"/>
      <c r="AW28" s="117"/>
      <c r="AX28" s="117"/>
      <c r="AY28" s="117"/>
      <c r="AZ28" s="117"/>
      <c r="BA28" s="117"/>
      <c r="BB28" s="117"/>
      <c r="BC28" s="117"/>
      <c r="BD28" s="117"/>
      <c r="BE28" s="117"/>
      <c r="BF28" s="117"/>
      <c r="BG28" s="117"/>
      <c r="BH28" s="117"/>
      <c r="BI28" s="117"/>
      <c r="BJ28" s="117"/>
      <c r="BK28" s="117"/>
      <c r="BL28" s="117"/>
      <c r="BM28" s="117"/>
      <c r="BN28" s="117"/>
      <c r="BO28" s="117"/>
      <c r="BP28" s="117"/>
      <c r="BQ28" s="117"/>
      <c r="BR28" s="117"/>
      <c r="BS28" s="117"/>
      <c r="BT28" s="117"/>
      <c r="BU28" s="117"/>
      <c r="BV28" s="117"/>
      <c r="BW28" s="117"/>
      <c r="BX28" s="117"/>
      <c r="BY28" s="117"/>
      <c r="BZ28" s="117"/>
      <c r="CA28" s="117"/>
      <c r="CB28" s="117"/>
      <c r="CC28" s="117"/>
      <c r="CD28" s="117"/>
      <c r="CE28" s="117"/>
      <c r="CF28" s="117"/>
      <c r="CG28" s="117"/>
      <c r="CH28" s="117"/>
      <c r="CI28" s="117"/>
      <c r="CJ28" s="117"/>
      <c r="CK28" s="117"/>
      <c r="CL28" s="117"/>
      <c r="CM28" s="117"/>
      <c r="CN28" s="117"/>
      <c r="CO28" s="117"/>
      <c r="CP28" s="117"/>
      <c r="CQ28" s="117"/>
      <c r="CR28" s="117"/>
      <c r="CS28" s="117"/>
      <c r="CT28" s="117"/>
      <c r="CU28" s="117"/>
      <c r="CV28" s="117"/>
      <c r="CW28" s="117"/>
      <c r="CX28" s="117"/>
      <c r="CY28" s="117"/>
      <c r="CZ28" s="117"/>
      <c r="DA28" s="117"/>
      <c r="DB28" s="117"/>
      <c r="DC28" s="117"/>
      <c r="DD28" s="117"/>
      <c r="DE28" s="117"/>
      <c r="DF28" s="117"/>
      <c r="DG28" s="117"/>
      <c r="DH28" s="117"/>
      <c r="DI28" s="117"/>
      <c r="DJ28" s="117"/>
      <c r="DK28" s="117"/>
      <c r="DL28" s="117"/>
      <c r="DM28" s="117"/>
    </row>
    <row r="29" spans="1:117" s="155" customFormat="1" ht="16.350000000000001" customHeight="1" x14ac:dyDescent="0.25">
      <c r="A29" s="117"/>
      <c r="B29" s="161"/>
      <c r="C29" s="162"/>
      <c r="D29" s="162"/>
      <c r="E29" s="163"/>
      <c r="F29" s="145"/>
      <c r="G29" s="166" t="s">
        <v>157</v>
      </c>
      <c r="H29" s="653">
        <f>'Staffels &amp; Tabellen'!$E$317</f>
        <v>0</v>
      </c>
      <c r="I29" s="546">
        <f>'Staffels &amp; Tabellen'!K302*$H$25</f>
        <v>0</v>
      </c>
      <c r="J29" s="224">
        <f>Uurtarieven!$C$4</f>
        <v>160</v>
      </c>
      <c r="K29" s="380">
        <f t="shared" si="2"/>
        <v>1</v>
      </c>
      <c r="L29" s="167"/>
      <c r="M29" s="361">
        <f t="shared" si="3"/>
        <v>0</v>
      </c>
      <c r="N29" s="362"/>
      <c r="O29" s="590">
        <f t="shared" si="4"/>
        <v>0</v>
      </c>
      <c r="P29" s="360"/>
      <c r="Q29" s="122"/>
      <c r="R29" s="122"/>
      <c r="S29" s="122"/>
      <c r="T29" s="122"/>
      <c r="U29" s="122"/>
      <c r="V29" s="122"/>
      <c r="W29" s="122"/>
      <c r="X29" s="122"/>
      <c r="Y29" s="122"/>
      <c r="Z29" s="122"/>
      <c r="AA29" s="122"/>
      <c r="AB29" s="122"/>
      <c r="AC29" s="122"/>
      <c r="AD29" s="122"/>
      <c r="AE29" s="122"/>
      <c r="AF29" s="122"/>
      <c r="AG29" s="122"/>
      <c r="AH29" s="122"/>
      <c r="AI29" s="122"/>
      <c r="AJ29" s="122"/>
      <c r="AK29" s="122"/>
      <c r="AL29" s="122"/>
      <c r="AM29" s="122"/>
      <c r="AN29" s="122"/>
      <c r="AO29" s="122"/>
      <c r="AP29" s="122"/>
      <c r="AQ29" s="122"/>
      <c r="AR29" s="117"/>
      <c r="AS29" s="117"/>
      <c r="AT29" s="117"/>
      <c r="AU29" s="117"/>
      <c r="AV29" s="117"/>
      <c r="AW29" s="117"/>
      <c r="AX29" s="117"/>
      <c r="AY29" s="117"/>
      <c r="AZ29" s="117"/>
      <c r="BA29" s="117"/>
      <c r="BB29" s="117"/>
      <c r="BC29" s="117"/>
      <c r="BD29" s="117"/>
      <c r="BE29" s="117"/>
      <c r="BF29" s="117"/>
      <c r="BG29" s="117"/>
      <c r="BH29" s="117"/>
      <c r="BI29" s="117"/>
      <c r="BJ29" s="117"/>
      <c r="BK29" s="117"/>
      <c r="BL29" s="117"/>
      <c r="BM29" s="117"/>
      <c r="BN29" s="117"/>
      <c r="BO29" s="117"/>
      <c r="BP29" s="117"/>
      <c r="BQ29" s="117"/>
      <c r="BR29" s="117"/>
      <c r="BS29" s="117"/>
      <c r="BT29" s="117"/>
      <c r="BU29" s="117"/>
      <c r="BV29" s="117"/>
      <c r="BW29" s="117"/>
      <c r="BX29" s="117"/>
      <c r="BY29" s="117"/>
      <c r="BZ29" s="117"/>
      <c r="CA29" s="117"/>
      <c r="CB29" s="117"/>
      <c r="CC29" s="117"/>
      <c r="CD29" s="117"/>
      <c r="CE29" s="117"/>
      <c r="CF29" s="117"/>
      <c r="CG29" s="117"/>
      <c r="CH29" s="117"/>
      <c r="CI29" s="117"/>
      <c r="CJ29" s="117"/>
      <c r="CK29" s="117"/>
      <c r="CL29" s="117"/>
      <c r="CM29" s="117"/>
      <c r="CN29" s="117"/>
      <c r="CO29" s="117"/>
      <c r="CP29" s="117"/>
      <c r="CQ29" s="117"/>
      <c r="CR29" s="117"/>
      <c r="CS29" s="117"/>
      <c r="CT29" s="117"/>
      <c r="CU29" s="117"/>
      <c r="CV29" s="117"/>
      <c r="CW29" s="117"/>
      <c r="CX29" s="117"/>
      <c r="CY29" s="117"/>
      <c r="CZ29" s="117"/>
      <c r="DA29" s="117"/>
      <c r="DB29" s="117"/>
      <c r="DC29" s="117"/>
      <c r="DD29" s="117"/>
      <c r="DE29" s="117"/>
      <c r="DF29" s="117"/>
      <c r="DG29" s="117"/>
      <c r="DH29" s="117"/>
      <c r="DI29" s="117"/>
      <c r="DJ29" s="117"/>
      <c r="DK29" s="117"/>
      <c r="DL29" s="117"/>
      <c r="DM29" s="117"/>
    </row>
    <row r="30" spans="1:117" s="155" customFormat="1" ht="16.350000000000001" customHeight="1" x14ac:dyDescent="0.25">
      <c r="A30" s="117"/>
      <c r="B30" s="161"/>
      <c r="C30" s="162"/>
      <c r="D30" s="162"/>
      <c r="E30" s="163"/>
      <c r="F30" s="145"/>
      <c r="G30" s="166" t="s">
        <v>158</v>
      </c>
      <c r="H30" s="653">
        <f>'Staffels &amp; Tabellen'!$E$317</f>
        <v>0</v>
      </c>
      <c r="I30" s="546">
        <f>'Staffels &amp; Tabellen'!K303*$H$25</f>
        <v>0</v>
      </c>
      <c r="J30" s="224">
        <f>Uurtarieven!$C$5</f>
        <v>140</v>
      </c>
      <c r="K30" s="380">
        <f t="shared" si="2"/>
        <v>1</v>
      </c>
      <c r="L30" s="167"/>
      <c r="M30" s="426">
        <f t="shared" si="3"/>
        <v>0</v>
      </c>
      <c r="N30" s="428"/>
      <c r="O30" s="427">
        <f t="shared" si="4"/>
        <v>0</v>
      </c>
      <c r="P30" s="430"/>
      <c r="Q30" s="122"/>
      <c r="R30" s="122"/>
      <c r="S30" s="122"/>
      <c r="T30" s="122"/>
      <c r="U30" s="122"/>
      <c r="V30" s="122"/>
      <c r="W30" s="122"/>
      <c r="X30" s="122"/>
      <c r="Y30" s="122"/>
      <c r="Z30" s="122"/>
      <c r="AA30" s="122"/>
      <c r="AB30" s="122"/>
      <c r="AC30" s="122"/>
      <c r="AD30" s="122"/>
      <c r="AE30" s="122"/>
      <c r="AF30" s="122"/>
      <c r="AG30" s="122"/>
      <c r="AH30" s="122"/>
      <c r="AI30" s="122"/>
      <c r="AJ30" s="122"/>
      <c r="AK30" s="122"/>
      <c r="AL30" s="122"/>
      <c r="AM30" s="122"/>
      <c r="AN30" s="122"/>
      <c r="AO30" s="122"/>
      <c r="AP30" s="122"/>
      <c r="AQ30" s="122"/>
      <c r="AR30" s="117"/>
      <c r="AS30" s="117"/>
      <c r="AT30" s="117"/>
      <c r="AU30" s="117"/>
      <c r="AV30" s="117"/>
      <c r="AW30" s="117"/>
      <c r="AX30" s="117"/>
      <c r="AY30" s="117"/>
      <c r="AZ30" s="117"/>
      <c r="BA30" s="117"/>
      <c r="BB30" s="117"/>
      <c r="BC30" s="117"/>
      <c r="BD30" s="117"/>
      <c r="BE30" s="117"/>
      <c r="BF30" s="117"/>
      <c r="BG30" s="117"/>
      <c r="BH30" s="117"/>
      <c r="BI30" s="117"/>
      <c r="BJ30" s="117"/>
      <c r="BK30" s="117"/>
      <c r="BL30" s="117"/>
      <c r="BM30" s="117"/>
      <c r="BN30" s="117"/>
      <c r="BO30" s="117"/>
      <c r="BP30" s="117"/>
      <c r="BQ30" s="117"/>
      <c r="BR30" s="117"/>
      <c r="BS30" s="117"/>
      <c r="BT30" s="117"/>
      <c r="BU30" s="117"/>
      <c r="BV30" s="117"/>
      <c r="BW30" s="117"/>
      <c r="BX30" s="117"/>
      <c r="BY30" s="117"/>
      <c r="BZ30" s="117"/>
      <c r="CA30" s="117"/>
      <c r="CB30" s="117"/>
      <c r="CC30" s="117"/>
      <c r="CD30" s="117"/>
      <c r="CE30" s="117"/>
      <c r="CF30" s="117"/>
      <c r="CG30" s="117"/>
      <c r="CH30" s="117"/>
      <c r="CI30" s="117"/>
      <c r="CJ30" s="117"/>
      <c r="CK30" s="117"/>
      <c r="CL30" s="117"/>
      <c r="CM30" s="117"/>
      <c r="CN30" s="117"/>
      <c r="CO30" s="117"/>
      <c r="CP30" s="117"/>
      <c r="CQ30" s="117"/>
      <c r="CR30" s="117"/>
      <c r="CS30" s="117"/>
      <c r="CT30" s="117"/>
      <c r="CU30" s="117"/>
      <c r="CV30" s="117"/>
      <c r="CW30" s="117"/>
      <c r="CX30" s="117"/>
      <c r="CY30" s="117"/>
      <c r="CZ30" s="117"/>
      <c r="DA30" s="117"/>
      <c r="DB30" s="117"/>
      <c r="DC30" s="117"/>
      <c r="DD30" s="117"/>
      <c r="DE30" s="117"/>
      <c r="DF30" s="117"/>
      <c r="DG30" s="117"/>
      <c r="DH30" s="117"/>
      <c r="DI30" s="117"/>
      <c r="DJ30" s="117"/>
      <c r="DK30" s="117"/>
      <c r="DL30" s="117"/>
      <c r="DM30" s="117"/>
    </row>
    <row r="31" spans="1:117" s="155" customFormat="1" x14ac:dyDescent="0.25">
      <c r="A31" s="117"/>
      <c r="B31" s="161"/>
      <c r="C31" s="162"/>
      <c r="D31" s="162"/>
      <c r="E31" s="163"/>
      <c r="F31" s="145"/>
      <c r="G31" s="151"/>
      <c r="H31" s="82"/>
      <c r="I31" s="165"/>
      <c r="J31" s="224"/>
      <c r="K31" s="380"/>
      <c r="L31" s="167"/>
      <c r="M31" s="361"/>
      <c r="N31" s="364">
        <f>SUM(M25:M30)</f>
        <v>0</v>
      </c>
      <c r="O31" s="590"/>
      <c r="P31" s="365">
        <f>SUM(O25:O30)</f>
        <v>0</v>
      </c>
      <c r="Q31" s="122"/>
      <c r="R31" s="122"/>
      <c r="S31" s="122"/>
      <c r="T31" s="122"/>
      <c r="U31" s="122"/>
      <c r="V31" s="122"/>
      <c r="W31" s="122"/>
      <c r="X31" s="122"/>
      <c r="Y31" s="122"/>
      <c r="Z31" s="122"/>
      <c r="AA31" s="122"/>
      <c r="AB31" s="122"/>
      <c r="AC31" s="122"/>
      <c r="AD31" s="122"/>
      <c r="AE31" s="122"/>
      <c r="AF31" s="122"/>
      <c r="AG31" s="122"/>
      <c r="AH31" s="122"/>
      <c r="AI31" s="122"/>
      <c r="AJ31" s="122"/>
      <c r="AK31" s="122"/>
      <c r="AL31" s="122"/>
      <c r="AM31" s="122"/>
      <c r="AN31" s="122"/>
      <c r="AO31" s="122"/>
      <c r="AP31" s="122"/>
      <c r="AQ31" s="122"/>
      <c r="AR31" s="117"/>
      <c r="AS31" s="117"/>
      <c r="AT31" s="117"/>
      <c r="AU31" s="117"/>
      <c r="AV31" s="117"/>
      <c r="AW31" s="117"/>
      <c r="AX31" s="117"/>
      <c r="AY31" s="117"/>
      <c r="AZ31" s="117"/>
      <c r="BA31" s="117"/>
      <c r="BB31" s="117"/>
      <c r="BC31" s="117"/>
      <c r="BD31" s="117"/>
      <c r="BE31" s="117"/>
      <c r="BF31" s="117"/>
      <c r="BG31" s="117"/>
      <c r="BH31" s="117"/>
      <c r="BI31" s="117"/>
      <c r="BJ31" s="117"/>
      <c r="BK31" s="117"/>
      <c r="BL31" s="117"/>
      <c r="BM31" s="117"/>
      <c r="BN31" s="117"/>
      <c r="BO31" s="117"/>
      <c r="BP31" s="117"/>
      <c r="BQ31" s="117"/>
      <c r="BR31" s="117"/>
      <c r="BS31" s="117"/>
      <c r="BT31" s="117"/>
      <c r="BU31" s="117"/>
      <c r="BV31" s="117"/>
      <c r="BW31" s="117"/>
      <c r="BX31" s="117"/>
      <c r="BY31" s="117"/>
      <c r="BZ31" s="117"/>
      <c r="CA31" s="117"/>
      <c r="CB31" s="117"/>
      <c r="CC31" s="117"/>
      <c r="CD31" s="117"/>
      <c r="CE31" s="117"/>
      <c r="CF31" s="117"/>
      <c r="CG31" s="117"/>
      <c r="CH31" s="117"/>
      <c r="CI31" s="117"/>
      <c r="CJ31" s="117"/>
      <c r="CK31" s="117"/>
      <c r="CL31" s="117"/>
      <c r="CM31" s="117"/>
      <c r="CN31" s="117"/>
      <c r="CO31" s="117"/>
      <c r="CP31" s="117"/>
      <c r="CQ31" s="117"/>
      <c r="CR31" s="117"/>
      <c r="CS31" s="117"/>
      <c r="CT31" s="117"/>
      <c r="CU31" s="117"/>
      <c r="CV31" s="117"/>
      <c r="CW31" s="117"/>
      <c r="CX31" s="117"/>
      <c r="CY31" s="117"/>
      <c r="CZ31" s="117"/>
      <c r="DA31" s="117"/>
      <c r="DB31" s="117"/>
      <c r="DC31" s="117"/>
      <c r="DD31" s="117"/>
      <c r="DE31" s="117"/>
      <c r="DF31" s="117"/>
      <c r="DG31" s="117"/>
      <c r="DH31" s="117"/>
      <c r="DI31" s="117"/>
      <c r="DJ31" s="117"/>
      <c r="DK31" s="117"/>
      <c r="DL31" s="117"/>
      <c r="DM31" s="117"/>
    </row>
    <row r="32" spans="1:117" s="155" customFormat="1" ht="14.4" thickBot="1" x14ac:dyDescent="0.3">
      <c r="A32" s="117"/>
      <c r="B32" s="161"/>
      <c r="C32" s="162"/>
      <c r="D32" s="162"/>
      <c r="E32" s="163"/>
      <c r="F32" s="145"/>
      <c r="G32" s="151"/>
      <c r="H32" s="111"/>
      <c r="I32" s="165"/>
      <c r="J32" s="223"/>
      <c r="K32" s="380"/>
      <c r="L32" s="145"/>
      <c r="M32" s="361"/>
      <c r="O32" s="590"/>
      <c r="P32" s="360"/>
      <c r="Q32" s="122"/>
      <c r="R32" s="122"/>
      <c r="S32" s="122"/>
      <c r="T32" s="122"/>
      <c r="U32" s="122"/>
      <c r="V32" s="122"/>
      <c r="W32" s="122"/>
      <c r="X32" s="122"/>
      <c r="Y32" s="122"/>
      <c r="Z32" s="122"/>
      <c r="AA32" s="122"/>
      <c r="AB32" s="122"/>
      <c r="AC32" s="122"/>
      <c r="AD32" s="122"/>
      <c r="AE32" s="122"/>
      <c r="AF32" s="122"/>
      <c r="AG32" s="122"/>
      <c r="AH32" s="122"/>
      <c r="AI32" s="122"/>
      <c r="AJ32" s="122"/>
      <c r="AK32" s="122"/>
      <c r="AL32" s="122"/>
      <c r="AM32" s="122"/>
      <c r="AN32" s="122"/>
      <c r="AO32" s="122"/>
      <c r="AP32" s="122"/>
      <c r="AQ32" s="122"/>
      <c r="AR32" s="117"/>
      <c r="AS32" s="117"/>
      <c r="AT32" s="117"/>
      <c r="AU32" s="117"/>
      <c r="AV32" s="117"/>
      <c r="AW32" s="117"/>
      <c r="AX32" s="117"/>
      <c r="AY32" s="117"/>
      <c r="AZ32" s="117"/>
      <c r="BA32" s="117"/>
      <c r="BB32" s="117"/>
      <c r="BC32" s="117"/>
      <c r="BD32" s="117"/>
      <c r="BE32" s="117"/>
      <c r="BF32" s="117"/>
      <c r="BG32" s="117"/>
      <c r="BH32" s="117"/>
      <c r="BI32" s="117"/>
      <c r="BJ32" s="117"/>
      <c r="BK32" s="117"/>
      <c r="BL32" s="117"/>
      <c r="BM32" s="117"/>
      <c r="BN32" s="117"/>
      <c r="BO32" s="117"/>
      <c r="BP32" s="117"/>
      <c r="BQ32" s="117"/>
      <c r="BR32" s="117"/>
      <c r="BS32" s="117"/>
      <c r="BT32" s="117"/>
      <c r="BU32" s="117"/>
      <c r="BV32" s="117"/>
      <c r="BW32" s="117"/>
      <c r="BX32" s="117"/>
      <c r="BY32" s="117"/>
      <c r="BZ32" s="117"/>
      <c r="CA32" s="117"/>
      <c r="CB32" s="117"/>
      <c r="CC32" s="117"/>
      <c r="CD32" s="117"/>
      <c r="CE32" s="117"/>
      <c r="CF32" s="117"/>
      <c r="CG32" s="117"/>
      <c r="CH32" s="117"/>
      <c r="CI32" s="117"/>
      <c r="CJ32" s="117"/>
      <c r="CK32" s="117"/>
      <c r="CL32" s="117"/>
      <c r="CM32" s="117"/>
      <c r="CN32" s="117"/>
      <c r="CO32" s="117"/>
      <c r="CP32" s="117"/>
      <c r="CQ32" s="117"/>
      <c r="CR32" s="117"/>
      <c r="CS32" s="117"/>
      <c r="CT32" s="117"/>
      <c r="CU32" s="117"/>
      <c r="CV32" s="117"/>
      <c r="CW32" s="117"/>
      <c r="CX32" s="117"/>
      <c r="CY32" s="117"/>
      <c r="CZ32" s="117"/>
      <c r="DA32" s="117"/>
      <c r="DB32" s="117"/>
      <c r="DC32" s="117"/>
      <c r="DD32" s="117"/>
      <c r="DE32" s="117"/>
      <c r="DF32" s="117"/>
      <c r="DG32" s="117"/>
      <c r="DH32" s="117"/>
      <c r="DI32" s="117"/>
      <c r="DJ32" s="117"/>
      <c r="DK32" s="117"/>
      <c r="DL32" s="117"/>
      <c r="DM32" s="117"/>
    </row>
    <row r="33" spans="1:117" s="155" customFormat="1" ht="14.4" thickBot="1" x14ac:dyDescent="0.3">
      <c r="A33" s="117"/>
      <c r="B33" s="161"/>
      <c r="C33" s="162"/>
      <c r="D33" s="162"/>
      <c r="E33" s="163" t="s">
        <v>159</v>
      </c>
      <c r="F33" s="145"/>
      <c r="G33" s="166" t="s">
        <v>160</v>
      </c>
      <c r="H33" s="82">
        <f>H25</f>
        <v>0</v>
      </c>
      <c r="I33" s="165">
        <f>'Staffels &amp; Tabellen'!D73</f>
        <v>38</v>
      </c>
      <c r="J33" s="223">
        <f>Uurtarieven!$C$7</f>
        <v>160</v>
      </c>
      <c r="K33" s="380">
        <f>1+SUM($D$8:$D$12)</f>
        <v>1</v>
      </c>
      <c r="L33" s="145"/>
      <c r="M33" s="361">
        <f>K33*J33*I33*H33</f>
        <v>0</v>
      </c>
      <c r="N33" s="359"/>
      <c r="O33" s="590">
        <f>H33*I33*K33</f>
        <v>0</v>
      </c>
      <c r="P33" s="360"/>
      <c r="Q33" s="122"/>
      <c r="R33" s="71" t="s">
        <v>149</v>
      </c>
      <c r="S33" s="122"/>
      <c r="T33" s="122"/>
      <c r="U33" s="122"/>
      <c r="V33" s="122"/>
      <c r="W33" s="122"/>
      <c r="X33" s="122"/>
      <c r="Y33" s="122"/>
      <c r="Z33" s="122"/>
      <c r="AA33" s="122"/>
      <c r="AB33" s="122"/>
      <c r="AC33" s="122"/>
      <c r="AD33" s="122"/>
      <c r="AE33" s="122"/>
      <c r="AF33" s="122"/>
      <c r="AG33" s="122"/>
      <c r="AH33" s="122"/>
      <c r="AI33" s="122"/>
      <c r="AJ33" s="122"/>
      <c r="AK33" s="122"/>
      <c r="AL33" s="122"/>
      <c r="AM33" s="122"/>
      <c r="AN33" s="122"/>
      <c r="AO33" s="122"/>
      <c r="AP33" s="122"/>
      <c r="AQ33" s="122"/>
      <c r="AR33" s="117"/>
      <c r="AS33" s="117"/>
      <c r="AT33" s="117"/>
      <c r="AU33" s="117"/>
      <c r="AV33" s="117"/>
      <c r="AW33" s="117"/>
      <c r="AX33" s="117"/>
      <c r="AY33" s="117"/>
      <c r="AZ33" s="117"/>
      <c r="BA33" s="117"/>
      <c r="BB33" s="117"/>
      <c r="BC33" s="117"/>
      <c r="BD33" s="117"/>
      <c r="BE33" s="117"/>
      <c r="BF33" s="117"/>
      <c r="BG33" s="117"/>
      <c r="BH33" s="117"/>
      <c r="BI33" s="117"/>
      <c r="BJ33" s="117"/>
      <c r="BK33" s="117"/>
      <c r="BL33" s="117"/>
      <c r="BM33" s="117"/>
      <c r="BN33" s="117"/>
      <c r="BO33" s="117"/>
      <c r="BP33" s="117"/>
      <c r="BQ33" s="117"/>
      <c r="BR33" s="117"/>
      <c r="BS33" s="117"/>
      <c r="BT33" s="117"/>
      <c r="BU33" s="117"/>
      <c r="BV33" s="117"/>
      <c r="BW33" s="117"/>
      <c r="BX33" s="117"/>
      <c r="BY33" s="117"/>
      <c r="BZ33" s="117"/>
      <c r="CA33" s="117"/>
      <c r="CB33" s="117"/>
      <c r="CC33" s="117"/>
      <c r="CD33" s="117"/>
      <c r="CE33" s="117"/>
      <c r="CF33" s="117"/>
      <c r="CG33" s="117"/>
      <c r="CH33" s="117"/>
      <c r="CI33" s="117"/>
      <c r="CJ33" s="117"/>
      <c r="CK33" s="117"/>
      <c r="CL33" s="117"/>
      <c r="CM33" s="117"/>
      <c r="CN33" s="117"/>
      <c r="CO33" s="117"/>
      <c r="CP33" s="117"/>
      <c r="CQ33" s="117"/>
      <c r="CR33" s="117"/>
      <c r="CS33" s="117"/>
      <c r="CT33" s="117"/>
      <c r="CU33" s="117"/>
      <c r="CV33" s="117"/>
      <c r="CW33" s="117"/>
      <c r="CX33" s="117"/>
      <c r="CY33" s="117"/>
      <c r="CZ33" s="117"/>
      <c r="DA33" s="117"/>
      <c r="DB33" s="117"/>
      <c r="DC33" s="117"/>
      <c r="DD33" s="117"/>
      <c r="DE33" s="117"/>
      <c r="DF33" s="117"/>
      <c r="DG33" s="117"/>
      <c r="DH33" s="117"/>
      <c r="DI33" s="117"/>
      <c r="DJ33" s="117"/>
      <c r="DK33" s="117"/>
      <c r="DL33" s="117"/>
      <c r="DM33" s="117"/>
    </row>
    <row r="34" spans="1:117" s="155" customFormat="1" x14ac:dyDescent="0.25">
      <c r="A34" s="117"/>
      <c r="B34" s="161"/>
      <c r="C34" s="169"/>
      <c r="D34" s="169"/>
      <c r="E34" s="163"/>
      <c r="F34" s="145"/>
      <c r="G34" s="166" t="s">
        <v>150</v>
      </c>
      <c r="H34" s="82">
        <v>0.1</v>
      </c>
      <c r="I34" s="165">
        <f>I33*H33</f>
        <v>0</v>
      </c>
      <c r="J34" s="224">
        <f>Uurtarieven!$C$11</f>
        <v>181</v>
      </c>
      <c r="K34" s="380">
        <f>1+SUM($D$8:$D$12)</f>
        <v>1</v>
      </c>
      <c r="L34" s="167"/>
      <c r="M34" s="426">
        <f>K34*J34*I34*H34</f>
        <v>0</v>
      </c>
      <c r="N34" s="428"/>
      <c r="O34" s="427">
        <f>H34*I34*K34</f>
        <v>0</v>
      </c>
      <c r="P34" s="429"/>
      <c r="Q34" s="122"/>
      <c r="R34" s="122"/>
      <c r="S34" s="122"/>
      <c r="T34" s="122"/>
      <c r="U34" s="122"/>
      <c r="V34" s="122"/>
      <c r="W34" s="122"/>
      <c r="X34" s="122"/>
      <c r="Y34" s="122"/>
      <c r="Z34" s="122"/>
      <c r="AA34" s="122"/>
      <c r="AB34" s="122"/>
      <c r="AC34" s="122"/>
      <c r="AD34" s="122"/>
      <c r="AE34" s="122"/>
      <c r="AF34" s="122"/>
      <c r="AG34" s="122"/>
      <c r="AH34" s="122"/>
      <c r="AI34" s="122"/>
      <c r="AJ34" s="122"/>
      <c r="AK34" s="122"/>
      <c r="AL34" s="122"/>
      <c r="AM34" s="122"/>
      <c r="AN34" s="122"/>
      <c r="AO34" s="122"/>
      <c r="AP34" s="122"/>
      <c r="AQ34" s="122"/>
      <c r="AR34" s="117"/>
      <c r="AS34" s="117"/>
      <c r="AT34" s="117"/>
      <c r="AU34" s="117"/>
      <c r="AV34" s="117"/>
      <c r="AW34" s="117"/>
      <c r="AX34" s="117"/>
      <c r="AY34" s="117"/>
      <c r="AZ34" s="117"/>
      <c r="BA34" s="117"/>
      <c r="BB34" s="117"/>
      <c r="BC34" s="117"/>
      <c r="BD34" s="117"/>
      <c r="BE34" s="117"/>
      <c r="BF34" s="117"/>
      <c r="BG34" s="117"/>
      <c r="BH34" s="117"/>
      <c r="BI34" s="117"/>
      <c r="BJ34" s="117"/>
      <c r="BK34" s="117"/>
      <c r="BL34" s="117"/>
      <c r="BM34" s="117"/>
      <c r="BN34" s="117"/>
      <c r="BO34" s="117"/>
      <c r="BP34" s="117"/>
      <c r="BQ34" s="117"/>
      <c r="BR34" s="117"/>
      <c r="BS34" s="117"/>
      <c r="BT34" s="117"/>
      <c r="BU34" s="117"/>
      <c r="BV34" s="117"/>
      <c r="BW34" s="117"/>
      <c r="BX34" s="117"/>
      <c r="BY34" s="117"/>
      <c r="BZ34" s="117"/>
      <c r="CA34" s="117"/>
      <c r="CB34" s="117"/>
      <c r="CC34" s="117"/>
      <c r="CD34" s="117"/>
      <c r="CE34" s="117"/>
      <c r="CF34" s="117"/>
      <c r="CG34" s="117"/>
      <c r="CH34" s="117"/>
      <c r="CI34" s="117"/>
      <c r="CJ34" s="117"/>
      <c r="CK34" s="117"/>
      <c r="CL34" s="117"/>
      <c r="CM34" s="117"/>
      <c r="CN34" s="117"/>
      <c r="CO34" s="117"/>
      <c r="CP34" s="117"/>
      <c r="CQ34" s="117"/>
      <c r="CR34" s="117"/>
      <c r="CS34" s="117"/>
      <c r="CT34" s="117"/>
      <c r="CU34" s="117"/>
      <c r="CV34" s="117"/>
      <c r="CW34" s="117"/>
      <c r="CX34" s="117"/>
      <c r="CY34" s="117"/>
      <c r="CZ34" s="117"/>
      <c r="DA34" s="117"/>
      <c r="DB34" s="117"/>
      <c r="DC34" s="117"/>
      <c r="DD34" s="117"/>
      <c r="DE34" s="117"/>
      <c r="DF34" s="117"/>
      <c r="DG34" s="117"/>
      <c r="DH34" s="117"/>
      <c r="DI34" s="117"/>
      <c r="DJ34" s="117"/>
      <c r="DK34" s="117"/>
      <c r="DL34" s="117"/>
      <c r="DM34" s="117"/>
    </row>
    <row r="35" spans="1:117" s="155" customFormat="1" x14ac:dyDescent="0.25">
      <c r="A35" s="117"/>
      <c r="B35" s="161"/>
      <c r="C35" s="162"/>
      <c r="D35" s="162"/>
      <c r="E35" s="163"/>
      <c r="F35" s="145"/>
      <c r="G35" s="151"/>
      <c r="H35" s="111"/>
      <c r="I35" s="165"/>
      <c r="J35" s="223"/>
      <c r="K35" s="380"/>
      <c r="L35" s="167"/>
      <c r="M35" s="361"/>
      <c r="N35" s="364">
        <f>SUM(M33:M34)</f>
        <v>0</v>
      </c>
      <c r="O35" s="590"/>
      <c r="P35" s="365">
        <f>SUM(O33:O34)</f>
        <v>0</v>
      </c>
      <c r="Q35" s="122"/>
      <c r="R35" s="122"/>
      <c r="S35" s="122"/>
      <c r="T35" s="122"/>
      <c r="U35" s="122"/>
      <c r="V35" s="122"/>
      <c r="W35" s="122"/>
      <c r="X35" s="122"/>
      <c r="Y35" s="122"/>
      <c r="Z35" s="122"/>
      <c r="AA35" s="122"/>
      <c r="AB35" s="122"/>
      <c r="AC35" s="122"/>
      <c r="AD35" s="122"/>
      <c r="AE35" s="122"/>
      <c r="AF35" s="122"/>
      <c r="AG35" s="122"/>
      <c r="AH35" s="122"/>
      <c r="AI35" s="122"/>
      <c r="AJ35" s="122"/>
      <c r="AK35" s="122"/>
      <c r="AL35" s="122"/>
      <c r="AM35" s="122"/>
      <c r="AN35" s="122"/>
      <c r="AO35" s="122"/>
      <c r="AP35" s="122"/>
      <c r="AQ35" s="122"/>
      <c r="AR35" s="117"/>
      <c r="AS35" s="117"/>
      <c r="AT35" s="117"/>
      <c r="AU35" s="117"/>
      <c r="AV35" s="117"/>
      <c r="AW35" s="117"/>
      <c r="AX35" s="117"/>
      <c r="AY35" s="117"/>
      <c r="AZ35" s="117"/>
      <c r="BA35" s="117"/>
      <c r="BB35" s="117"/>
      <c r="BC35" s="117"/>
      <c r="BD35" s="117"/>
      <c r="BE35" s="117"/>
      <c r="BF35" s="117"/>
      <c r="BG35" s="117"/>
      <c r="BH35" s="117"/>
      <c r="BI35" s="117"/>
      <c r="BJ35" s="117"/>
      <c r="BK35" s="117"/>
      <c r="BL35" s="117"/>
      <c r="BM35" s="117"/>
      <c r="BN35" s="117"/>
      <c r="BO35" s="117"/>
      <c r="BP35" s="117"/>
      <c r="BQ35" s="117"/>
      <c r="BR35" s="117"/>
      <c r="BS35" s="117"/>
      <c r="BT35" s="117"/>
      <c r="BU35" s="117"/>
      <c r="BV35" s="117"/>
      <c r="BW35" s="117"/>
      <c r="BX35" s="117"/>
      <c r="BY35" s="117"/>
      <c r="BZ35" s="117"/>
      <c r="CA35" s="117"/>
      <c r="CB35" s="117"/>
      <c r="CC35" s="117"/>
      <c r="CD35" s="117"/>
      <c r="CE35" s="117"/>
      <c r="CF35" s="117"/>
      <c r="CG35" s="117"/>
      <c r="CH35" s="117"/>
      <c r="CI35" s="117"/>
      <c r="CJ35" s="117"/>
      <c r="CK35" s="117"/>
      <c r="CL35" s="117"/>
      <c r="CM35" s="117"/>
      <c r="CN35" s="117"/>
      <c r="CO35" s="117"/>
      <c r="CP35" s="117"/>
      <c r="CQ35" s="117"/>
      <c r="CR35" s="117"/>
      <c r="CS35" s="117"/>
      <c r="CT35" s="117"/>
      <c r="CU35" s="117"/>
      <c r="CV35" s="117"/>
      <c r="CW35" s="117"/>
      <c r="CX35" s="117"/>
      <c r="CY35" s="117"/>
      <c r="CZ35" s="117"/>
      <c r="DA35" s="117"/>
      <c r="DB35" s="117"/>
      <c r="DC35" s="117"/>
      <c r="DD35" s="117"/>
      <c r="DE35" s="117"/>
      <c r="DF35" s="117"/>
      <c r="DG35" s="117"/>
      <c r="DH35" s="117"/>
      <c r="DI35" s="117"/>
      <c r="DJ35" s="117"/>
      <c r="DK35" s="117"/>
      <c r="DL35" s="117"/>
      <c r="DM35" s="117"/>
    </row>
    <row r="36" spans="1:117" s="155" customFormat="1" x14ac:dyDescent="0.25">
      <c r="A36" s="117"/>
      <c r="B36" s="161"/>
      <c r="C36" s="162"/>
      <c r="D36" s="162"/>
      <c r="E36" s="163"/>
      <c r="F36" s="145"/>
      <c r="G36" s="151"/>
      <c r="H36" s="111"/>
      <c r="I36" s="165"/>
      <c r="J36" s="223"/>
      <c r="K36" s="380"/>
      <c r="L36" s="167"/>
      <c r="M36" s="361"/>
      <c r="N36" s="359"/>
      <c r="O36" s="590"/>
      <c r="P36" s="360"/>
      <c r="Q36" s="122"/>
      <c r="R36" s="122"/>
      <c r="S36" s="122"/>
      <c r="T36" s="122"/>
      <c r="U36" s="122"/>
      <c r="V36" s="122"/>
      <c r="W36" s="122"/>
      <c r="X36" s="122"/>
      <c r="Y36" s="122"/>
      <c r="Z36" s="122"/>
      <c r="AA36" s="122"/>
      <c r="AB36" s="122"/>
      <c r="AC36" s="122"/>
      <c r="AD36" s="122"/>
      <c r="AE36" s="122"/>
      <c r="AF36" s="122"/>
      <c r="AG36" s="122"/>
      <c r="AH36" s="122"/>
      <c r="AI36" s="122"/>
      <c r="AJ36" s="122"/>
      <c r="AK36" s="122"/>
      <c r="AL36" s="122"/>
      <c r="AM36" s="122"/>
      <c r="AN36" s="122"/>
      <c r="AO36" s="122"/>
      <c r="AP36" s="122"/>
      <c r="AQ36" s="122"/>
      <c r="AR36" s="117"/>
      <c r="AS36" s="117"/>
      <c r="AT36" s="117"/>
      <c r="AU36" s="117"/>
      <c r="AV36" s="117"/>
      <c r="AW36" s="117"/>
      <c r="AX36" s="117"/>
      <c r="AY36" s="117"/>
      <c r="AZ36" s="117"/>
      <c r="BA36" s="117"/>
      <c r="BB36" s="117"/>
      <c r="BC36" s="117"/>
      <c r="BD36" s="117"/>
      <c r="BE36" s="117"/>
      <c r="BF36" s="117"/>
      <c r="BG36" s="117"/>
      <c r="BH36" s="117"/>
      <c r="BI36" s="117"/>
      <c r="BJ36" s="117"/>
      <c r="BK36" s="117"/>
      <c r="BL36" s="117"/>
      <c r="BM36" s="117"/>
      <c r="BN36" s="117"/>
      <c r="BO36" s="117"/>
      <c r="BP36" s="117"/>
      <c r="BQ36" s="117"/>
      <c r="BR36" s="117"/>
      <c r="BS36" s="117"/>
      <c r="BT36" s="117"/>
      <c r="BU36" s="117"/>
      <c r="BV36" s="117"/>
      <c r="BW36" s="117"/>
      <c r="BX36" s="117"/>
      <c r="BY36" s="117"/>
      <c r="BZ36" s="117"/>
      <c r="CA36" s="117"/>
      <c r="CB36" s="117"/>
      <c r="CC36" s="117"/>
      <c r="CD36" s="117"/>
      <c r="CE36" s="117"/>
      <c r="CF36" s="117"/>
      <c r="CG36" s="117"/>
      <c r="CH36" s="117"/>
      <c r="CI36" s="117"/>
      <c r="CJ36" s="117"/>
      <c r="CK36" s="117"/>
      <c r="CL36" s="117"/>
      <c r="CM36" s="117"/>
      <c r="CN36" s="117"/>
      <c r="CO36" s="117"/>
      <c r="CP36" s="117"/>
      <c r="CQ36" s="117"/>
      <c r="CR36" s="117"/>
      <c r="CS36" s="117"/>
      <c r="CT36" s="117"/>
      <c r="CU36" s="117"/>
      <c r="CV36" s="117"/>
      <c r="CW36" s="117"/>
      <c r="CX36" s="117"/>
      <c r="CY36" s="117"/>
      <c r="CZ36" s="117"/>
      <c r="DA36" s="117"/>
      <c r="DB36" s="117"/>
      <c r="DC36" s="117"/>
      <c r="DD36" s="117"/>
      <c r="DE36" s="117"/>
      <c r="DF36" s="117"/>
      <c r="DG36" s="117"/>
      <c r="DH36" s="117"/>
      <c r="DI36" s="117"/>
      <c r="DJ36" s="117"/>
      <c r="DK36" s="117"/>
      <c r="DL36" s="117"/>
      <c r="DM36" s="117"/>
    </row>
    <row r="37" spans="1:117" s="155" customFormat="1" ht="14.4" thickBot="1" x14ac:dyDescent="0.3">
      <c r="A37" s="117"/>
      <c r="B37" s="156" t="s">
        <v>161</v>
      </c>
      <c r="C37" s="713" t="s">
        <v>162</v>
      </c>
      <c r="D37" s="713"/>
      <c r="E37" s="714"/>
      <c r="F37" s="145"/>
      <c r="G37" s="151"/>
      <c r="H37" s="111"/>
      <c r="I37" s="165"/>
      <c r="J37" s="223"/>
      <c r="K37" s="380"/>
      <c r="L37" s="167"/>
      <c r="M37" s="361"/>
      <c r="O37" s="590"/>
      <c r="P37" s="360"/>
      <c r="Q37" s="122"/>
      <c r="R37" s="122"/>
      <c r="S37" s="122"/>
      <c r="T37" s="122"/>
      <c r="U37" s="122"/>
      <c r="V37" s="122"/>
      <c r="W37" s="122"/>
      <c r="X37" s="122"/>
      <c r="Y37" s="122"/>
      <c r="Z37" s="122"/>
      <c r="AA37" s="122"/>
      <c r="AB37" s="122"/>
      <c r="AC37" s="122"/>
      <c r="AD37" s="122"/>
      <c r="AE37" s="122"/>
      <c r="AF37" s="122"/>
      <c r="AG37" s="122"/>
      <c r="AH37" s="122"/>
      <c r="AI37" s="122"/>
      <c r="AJ37" s="122"/>
      <c r="AK37" s="122"/>
      <c r="AL37" s="122"/>
      <c r="AM37" s="122"/>
      <c r="AN37" s="122"/>
      <c r="AO37" s="122"/>
      <c r="AP37" s="122"/>
      <c r="AQ37" s="122"/>
      <c r="AR37" s="117"/>
      <c r="AS37" s="117"/>
      <c r="AT37" s="117"/>
      <c r="AU37" s="117"/>
      <c r="AV37" s="117"/>
      <c r="AW37" s="117"/>
      <c r="AX37" s="117"/>
      <c r="AY37" s="117"/>
      <c r="AZ37" s="117"/>
      <c r="BA37" s="117"/>
      <c r="BB37" s="117"/>
      <c r="BC37" s="117"/>
      <c r="BD37" s="117"/>
      <c r="BE37" s="117"/>
      <c r="BF37" s="117"/>
      <c r="BG37" s="117"/>
      <c r="BH37" s="117"/>
      <c r="BI37" s="117"/>
      <c r="BJ37" s="117"/>
      <c r="BK37" s="117"/>
      <c r="BL37" s="117"/>
      <c r="BM37" s="117"/>
      <c r="BN37" s="117"/>
      <c r="BO37" s="117"/>
      <c r="BP37" s="117"/>
      <c r="BQ37" s="117"/>
      <c r="BR37" s="117"/>
      <c r="BS37" s="117"/>
      <c r="BT37" s="117"/>
      <c r="BU37" s="117"/>
      <c r="BV37" s="117"/>
      <c r="BW37" s="117"/>
      <c r="BX37" s="117"/>
      <c r="BY37" s="117"/>
      <c r="BZ37" s="117"/>
      <c r="CA37" s="117"/>
      <c r="CB37" s="117"/>
      <c r="CC37" s="117"/>
      <c r="CD37" s="117"/>
      <c r="CE37" s="117"/>
      <c r="CF37" s="117"/>
      <c r="CG37" s="117"/>
      <c r="CH37" s="117"/>
      <c r="CI37" s="117"/>
      <c r="CJ37" s="117"/>
      <c r="CK37" s="117"/>
      <c r="CL37" s="117"/>
      <c r="CM37" s="117"/>
      <c r="CN37" s="117"/>
      <c r="CO37" s="117"/>
      <c r="CP37" s="117"/>
      <c r="CQ37" s="117"/>
      <c r="CR37" s="117"/>
      <c r="CS37" s="117"/>
      <c r="CT37" s="117"/>
      <c r="CU37" s="117"/>
      <c r="CV37" s="117"/>
      <c r="CW37" s="117"/>
      <c r="CX37" s="117"/>
      <c r="CY37" s="117"/>
      <c r="CZ37" s="117"/>
      <c r="DA37" s="117"/>
      <c r="DB37" s="117"/>
      <c r="DC37" s="117"/>
      <c r="DD37" s="117"/>
      <c r="DE37" s="117"/>
      <c r="DF37" s="117"/>
      <c r="DG37" s="117"/>
      <c r="DH37" s="117"/>
      <c r="DI37" s="117"/>
      <c r="DJ37" s="117"/>
      <c r="DK37" s="117"/>
      <c r="DL37" s="117"/>
      <c r="DM37" s="117"/>
    </row>
    <row r="38" spans="1:117" s="155" customFormat="1" ht="14.4" thickBot="1" x14ac:dyDescent="0.3">
      <c r="A38" s="117"/>
      <c r="B38" s="156"/>
      <c r="C38" s="566" t="s">
        <v>146</v>
      </c>
      <c r="D38" s="566"/>
      <c r="E38" s="171" t="s">
        <v>163</v>
      </c>
      <c r="F38" s="145"/>
      <c r="G38" s="172" t="s">
        <v>154</v>
      </c>
      <c r="H38" s="82">
        <f>IF(Vragenlijst!E13='Drop Down '!B2,IF(OR(Vragenlijst!E61='Drop Down '!B25,Vragenlijst!E61='Drop Down '!B24),100%,0%),0%)</f>
        <v>0</v>
      </c>
      <c r="I38" s="165">
        <f>'Staffels &amp; Tabellen'!D42</f>
        <v>60</v>
      </c>
      <c r="J38" s="224">
        <f>Uurtarieven!$C$9</f>
        <v>160</v>
      </c>
      <c r="K38" s="380">
        <f t="shared" ref="K38:K43" si="5">1+SUM($D$8:$D$12)</f>
        <v>1</v>
      </c>
      <c r="L38" s="145"/>
      <c r="M38" s="361">
        <f t="shared" ref="M38:M43" si="6">K38*J38*I38*H38</f>
        <v>0</v>
      </c>
      <c r="N38" s="359"/>
      <c r="O38" s="590">
        <f t="shared" ref="O38:O43" si="7">H38*I38*K38</f>
        <v>0</v>
      </c>
      <c r="P38" s="360"/>
      <c r="Q38" s="122"/>
      <c r="R38" s="71" t="s">
        <v>149</v>
      </c>
      <c r="S38" s="122"/>
      <c r="T38" s="122"/>
      <c r="U38" s="122"/>
      <c r="V38" s="122"/>
      <c r="W38" s="122"/>
      <c r="X38" s="122"/>
      <c r="Y38" s="122"/>
      <c r="Z38" s="122"/>
      <c r="AA38" s="122"/>
      <c r="AB38" s="122"/>
      <c r="AC38" s="122"/>
      <c r="AD38" s="122"/>
      <c r="AE38" s="122"/>
      <c r="AF38" s="122"/>
      <c r="AG38" s="122"/>
      <c r="AH38" s="122"/>
      <c r="AI38" s="122"/>
      <c r="AJ38" s="122"/>
      <c r="AK38" s="122"/>
      <c r="AL38" s="122"/>
      <c r="AM38" s="122"/>
      <c r="AN38" s="122"/>
      <c r="AO38" s="122"/>
      <c r="AP38" s="122"/>
      <c r="AQ38" s="122"/>
      <c r="AR38" s="117"/>
      <c r="AS38" s="117"/>
      <c r="AT38" s="117"/>
      <c r="AU38" s="117"/>
      <c r="AV38" s="117"/>
      <c r="AW38" s="117"/>
      <c r="AX38" s="117"/>
      <c r="AY38" s="117"/>
      <c r="AZ38" s="117"/>
      <c r="BA38" s="117"/>
      <c r="BB38" s="117"/>
      <c r="BC38" s="117"/>
      <c r="BD38" s="117"/>
      <c r="BE38" s="117"/>
      <c r="BF38" s="117"/>
      <c r="BG38" s="117"/>
      <c r="BH38" s="117"/>
      <c r="BI38" s="117"/>
      <c r="BJ38" s="117"/>
      <c r="BK38" s="117"/>
      <c r="BL38" s="117"/>
      <c r="BM38" s="117"/>
      <c r="BN38" s="117"/>
      <c r="BO38" s="117"/>
      <c r="BP38" s="117"/>
      <c r="BQ38" s="117"/>
      <c r="BR38" s="117"/>
      <c r="BS38" s="117"/>
      <c r="BT38" s="117"/>
      <c r="BU38" s="117"/>
      <c r="BV38" s="117"/>
      <c r="BW38" s="117"/>
      <c r="BX38" s="117"/>
      <c r="BY38" s="117"/>
      <c r="BZ38" s="117"/>
      <c r="CA38" s="117"/>
      <c r="CB38" s="117"/>
      <c r="CC38" s="117"/>
      <c r="CD38" s="117"/>
      <c r="CE38" s="117"/>
      <c r="CF38" s="117"/>
      <c r="CG38" s="117"/>
      <c r="CH38" s="117"/>
      <c r="CI38" s="117"/>
      <c r="CJ38" s="117"/>
      <c r="CK38" s="117"/>
      <c r="CL38" s="117"/>
      <c r="CM38" s="117"/>
      <c r="CN38" s="117"/>
      <c r="CO38" s="117"/>
      <c r="CP38" s="117"/>
      <c r="CQ38" s="117"/>
      <c r="CR38" s="117"/>
      <c r="CS38" s="117"/>
      <c r="CT38" s="117"/>
      <c r="CU38" s="117"/>
      <c r="CV38" s="117"/>
      <c r="CW38" s="117"/>
      <c r="CX38" s="117"/>
      <c r="CY38" s="117"/>
      <c r="CZ38" s="117"/>
      <c r="DA38" s="117"/>
      <c r="DB38" s="117"/>
      <c r="DC38" s="117"/>
      <c r="DD38" s="117"/>
      <c r="DE38" s="117"/>
      <c r="DF38" s="117"/>
      <c r="DG38" s="117"/>
      <c r="DH38" s="117"/>
      <c r="DI38" s="117"/>
      <c r="DJ38" s="117"/>
      <c r="DK38" s="117"/>
      <c r="DL38" s="117"/>
      <c r="DM38" s="117"/>
    </row>
    <row r="39" spans="1:117" s="155" customFormat="1" ht="16.350000000000001" customHeight="1" x14ac:dyDescent="0.25">
      <c r="A39" s="117"/>
      <c r="B39" s="161"/>
      <c r="C39" s="162"/>
      <c r="D39" s="162"/>
      <c r="E39" s="163"/>
      <c r="F39" s="145"/>
      <c r="G39" s="166" t="s">
        <v>150</v>
      </c>
      <c r="H39" s="546">
        <f>'Staffels &amp; Tabellen'!$E$317</f>
        <v>0</v>
      </c>
      <c r="I39" s="546">
        <f>'Staffels &amp; Tabellen'!K299*$H$38</f>
        <v>0</v>
      </c>
      <c r="J39" s="224">
        <f>Uurtarieven!$C$11</f>
        <v>181</v>
      </c>
      <c r="K39" s="380">
        <f t="shared" si="5"/>
        <v>1</v>
      </c>
      <c r="L39" s="167"/>
      <c r="M39" s="361">
        <f t="shared" si="6"/>
        <v>0</v>
      </c>
      <c r="N39" s="362"/>
      <c r="O39" s="590">
        <f t="shared" si="7"/>
        <v>0</v>
      </c>
      <c r="P39" s="363"/>
      <c r="Q39" s="122"/>
      <c r="R39" s="122"/>
      <c r="S39" s="122"/>
      <c r="T39" s="122"/>
      <c r="U39" s="122"/>
      <c r="V39" s="122"/>
      <c r="W39" s="122"/>
      <c r="X39" s="122"/>
      <c r="Y39" s="122"/>
      <c r="Z39" s="122"/>
      <c r="AA39" s="122"/>
      <c r="AB39" s="122"/>
      <c r="AC39" s="122"/>
      <c r="AD39" s="122"/>
      <c r="AE39" s="122"/>
      <c r="AF39" s="122"/>
      <c r="AG39" s="122"/>
      <c r="AH39" s="122"/>
      <c r="AI39" s="122"/>
      <c r="AJ39" s="122"/>
      <c r="AK39" s="122"/>
      <c r="AL39" s="122"/>
      <c r="AM39" s="122"/>
      <c r="AN39" s="122"/>
      <c r="AO39" s="122"/>
      <c r="AP39" s="122"/>
      <c r="AQ39" s="122"/>
      <c r="AR39" s="117"/>
      <c r="AS39" s="117"/>
      <c r="AT39" s="117"/>
      <c r="AU39" s="117"/>
      <c r="AV39" s="117"/>
      <c r="AW39" s="117"/>
      <c r="AX39" s="117"/>
      <c r="AY39" s="117"/>
      <c r="AZ39" s="117"/>
      <c r="BA39" s="117"/>
      <c r="BB39" s="117"/>
      <c r="BC39" s="117"/>
      <c r="BD39" s="117"/>
      <c r="BE39" s="117"/>
      <c r="BF39" s="117"/>
      <c r="BG39" s="117"/>
      <c r="BH39" s="117"/>
      <c r="BI39" s="117"/>
      <c r="BJ39" s="117"/>
      <c r="BK39" s="117"/>
      <c r="BL39" s="117"/>
      <c r="BM39" s="117"/>
      <c r="BN39" s="117"/>
      <c r="BO39" s="117"/>
      <c r="BP39" s="117"/>
      <c r="BQ39" s="117"/>
      <c r="BR39" s="117"/>
      <c r="BS39" s="117"/>
      <c r="BT39" s="117"/>
      <c r="BU39" s="117"/>
      <c r="BV39" s="117"/>
      <c r="BW39" s="117"/>
      <c r="BX39" s="117"/>
      <c r="BY39" s="117"/>
      <c r="BZ39" s="117"/>
      <c r="CA39" s="117"/>
      <c r="CB39" s="117"/>
      <c r="CC39" s="117"/>
      <c r="CD39" s="117"/>
      <c r="CE39" s="117"/>
      <c r="CF39" s="117"/>
      <c r="CG39" s="117"/>
      <c r="CH39" s="117"/>
      <c r="CI39" s="117"/>
      <c r="CJ39" s="117"/>
      <c r="CK39" s="117"/>
      <c r="CL39" s="117"/>
      <c r="CM39" s="117"/>
      <c r="CN39" s="117"/>
      <c r="CO39" s="117"/>
      <c r="CP39" s="117"/>
      <c r="CQ39" s="117"/>
      <c r="CR39" s="117"/>
      <c r="CS39" s="117"/>
      <c r="CT39" s="117"/>
      <c r="CU39" s="117"/>
      <c r="CV39" s="117"/>
      <c r="CW39" s="117"/>
      <c r="CX39" s="117"/>
      <c r="CY39" s="117"/>
      <c r="CZ39" s="117"/>
      <c r="DA39" s="117"/>
      <c r="DB39" s="117"/>
      <c r="DC39" s="117"/>
      <c r="DD39" s="117"/>
      <c r="DE39" s="117"/>
      <c r="DF39" s="117"/>
      <c r="DG39" s="117"/>
      <c r="DH39" s="117"/>
      <c r="DI39" s="117"/>
      <c r="DJ39" s="117"/>
      <c r="DK39" s="117"/>
      <c r="DL39" s="117"/>
      <c r="DM39" s="117"/>
    </row>
    <row r="40" spans="1:117" s="155" customFormat="1" ht="16.350000000000001" customHeight="1" x14ac:dyDescent="0.25">
      <c r="A40" s="117"/>
      <c r="B40" s="161"/>
      <c r="C40" s="162"/>
      <c r="D40" s="162"/>
      <c r="E40" s="163"/>
      <c r="F40" s="145"/>
      <c r="G40" s="166" t="s">
        <v>155</v>
      </c>
      <c r="H40" s="546">
        <f>'Staffels &amp; Tabellen'!$E$317</f>
        <v>0</v>
      </c>
      <c r="I40" s="546">
        <f>'Staffels &amp; Tabellen'!K300*$H$38</f>
        <v>0</v>
      </c>
      <c r="J40" s="224">
        <f>Uurtarieven!$C$13</f>
        <v>160</v>
      </c>
      <c r="K40" s="380">
        <f t="shared" si="5"/>
        <v>1</v>
      </c>
      <c r="L40" s="167"/>
      <c r="M40" s="361">
        <f t="shared" si="6"/>
        <v>0</v>
      </c>
      <c r="N40" s="362"/>
      <c r="O40" s="590">
        <f t="shared" si="7"/>
        <v>0</v>
      </c>
      <c r="P40" s="363"/>
      <c r="Q40" s="122"/>
      <c r="R40" s="122"/>
      <c r="S40" s="122"/>
      <c r="T40" s="122"/>
      <c r="U40" s="122"/>
      <c r="V40" s="122"/>
      <c r="W40" s="122"/>
      <c r="X40" s="122"/>
      <c r="Y40" s="122"/>
      <c r="Z40" s="122"/>
      <c r="AA40" s="122"/>
      <c r="AB40" s="122"/>
      <c r="AC40" s="122"/>
      <c r="AD40" s="122"/>
      <c r="AE40" s="122"/>
      <c r="AF40" s="122"/>
      <c r="AG40" s="122"/>
      <c r="AH40" s="122"/>
      <c r="AI40" s="122"/>
      <c r="AJ40" s="122"/>
      <c r="AK40" s="122"/>
      <c r="AL40" s="122"/>
      <c r="AM40" s="122"/>
      <c r="AN40" s="122"/>
      <c r="AO40" s="122"/>
      <c r="AP40" s="122"/>
      <c r="AQ40" s="122"/>
      <c r="AR40" s="117"/>
      <c r="AS40" s="117"/>
      <c r="AT40" s="117"/>
      <c r="AU40" s="117"/>
      <c r="AV40" s="117"/>
      <c r="AW40" s="117"/>
      <c r="AX40" s="117"/>
      <c r="AY40" s="117"/>
      <c r="AZ40" s="117"/>
      <c r="BA40" s="117"/>
      <c r="BB40" s="117"/>
      <c r="BC40" s="117"/>
      <c r="BD40" s="117"/>
      <c r="BE40" s="117"/>
      <c r="BF40" s="117"/>
      <c r="BG40" s="117"/>
      <c r="BH40" s="117"/>
      <c r="BI40" s="117"/>
      <c r="BJ40" s="117"/>
      <c r="BK40" s="117"/>
      <c r="BL40" s="117"/>
      <c r="BM40" s="117"/>
      <c r="BN40" s="117"/>
      <c r="BO40" s="117"/>
      <c r="BP40" s="117"/>
      <c r="BQ40" s="117"/>
      <c r="BR40" s="117"/>
      <c r="BS40" s="117"/>
      <c r="BT40" s="117"/>
      <c r="BU40" s="117"/>
      <c r="BV40" s="117"/>
      <c r="BW40" s="117"/>
      <c r="BX40" s="117"/>
      <c r="BY40" s="117"/>
      <c r="BZ40" s="117"/>
      <c r="CA40" s="117"/>
      <c r="CB40" s="117"/>
      <c r="CC40" s="117"/>
      <c r="CD40" s="117"/>
      <c r="CE40" s="117"/>
      <c r="CF40" s="117"/>
      <c r="CG40" s="117"/>
      <c r="CH40" s="117"/>
      <c r="CI40" s="117"/>
      <c r="CJ40" s="117"/>
      <c r="CK40" s="117"/>
      <c r="CL40" s="117"/>
      <c r="CM40" s="117"/>
      <c r="CN40" s="117"/>
      <c r="CO40" s="117"/>
      <c r="CP40" s="117"/>
      <c r="CQ40" s="117"/>
      <c r="CR40" s="117"/>
      <c r="CS40" s="117"/>
      <c r="CT40" s="117"/>
      <c r="CU40" s="117"/>
      <c r="CV40" s="117"/>
      <c r="CW40" s="117"/>
      <c r="CX40" s="117"/>
      <c r="CY40" s="117"/>
      <c r="CZ40" s="117"/>
      <c r="DA40" s="117"/>
      <c r="DB40" s="117"/>
      <c r="DC40" s="117"/>
      <c r="DD40" s="117"/>
      <c r="DE40" s="117"/>
      <c r="DF40" s="117"/>
      <c r="DG40" s="117"/>
      <c r="DH40" s="117"/>
      <c r="DI40" s="117"/>
      <c r="DJ40" s="117"/>
      <c r="DK40" s="117"/>
      <c r="DL40" s="117"/>
      <c r="DM40" s="117"/>
    </row>
    <row r="41" spans="1:117" s="155" customFormat="1" ht="16.350000000000001" customHeight="1" x14ac:dyDescent="0.25">
      <c r="A41" s="117"/>
      <c r="B41" s="161"/>
      <c r="C41" s="162"/>
      <c r="D41" s="162"/>
      <c r="E41" s="163"/>
      <c r="F41" s="145"/>
      <c r="G41" s="166" t="s">
        <v>156</v>
      </c>
      <c r="H41" s="546">
        <f>'Staffels &amp; Tabellen'!$E$317</f>
        <v>0</v>
      </c>
      <c r="I41" s="546">
        <f>'Staffels &amp; Tabellen'!K301*$H$38</f>
        <v>0</v>
      </c>
      <c r="J41" s="224">
        <f>Uurtarieven!$C$10</f>
        <v>160</v>
      </c>
      <c r="K41" s="380">
        <f t="shared" si="5"/>
        <v>1</v>
      </c>
      <c r="L41" s="167"/>
      <c r="M41" s="361">
        <f t="shared" si="6"/>
        <v>0</v>
      </c>
      <c r="N41" s="362"/>
      <c r="O41" s="590">
        <f t="shared" si="7"/>
        <v>0</v>
      </c>
      <c r="P41" s="360"/>
      <c r="Q41" s="122"/>
      <c r="R41" s="122"/>
      <c r="S41" s="122"/>
      <c r="T41" s="122"/>
      <c r="U41" s="122"/>
      <c r="V41" s="122"/>
      <c r="W41" s="122"/>
      <c r="X41" s="122"/>
      <c r="Y41" s="122"/>
      <c r="Z41" s="122"/>
      <c r="AA41" s="122"/>
      <c r="AB41" s="122"/>
      <c r="AC41" s="122"/>
      <c r="AD41" s="122"/>
      <c r="AE41" s="122"/>
      <c r="AF41" s="122"/>
      <c r="AG41" s="122"/>
      <c r="AH41" s="122"/>
      <c r="AI41" s="122"/>
      <c r="AJ41" s="122"/>
      <c r="AK41" s="122"/>
      <c r="AL41" s="122"/>
      <c r="AM41" s="122"/>
      <c r="AN41" s="122"/>
      <c r="AO41" s="122"/>
      <c r="AP41" s="122"/>
      <c r="AQ41" s="122"/>
      <c r="AR41" s="117"/>
      <c r="AS41" s="117"/>
      <c r="AT41" s="117"/>
      <c r="AU41" s="117"/>
      <c r="AV41" s="117"/>
      <c r="AW41" s="117"/>
      <c r="AX41" s="117"/>
      <c r="AY41" s="117"/>
      <c r="AZ41" s="117"/>
      <c r="BA41" s="117"/>
      <c r="BB41" s="117"/>
      <c r="BC41" s="117"/>
      <c r="BD41" s="117"/>
      <c r="BE41" s="117"/>
      <c r="BF41" s="117"/>
      <c r="BG41" s="117"/>
      <c r="BH41" s="117"/>
      <c r="BI41" s="117"/>
      <c r="BJ41" s="117"/>
      <c r="BK41" s="117"/>
      <c r="BL41" s="117"/>
      <c r="BM41" s="117"/>
      <c r="BN41" s="117"/>
      <c r="BO41" s="117"/>
      <c r="BP41" s="117"/>
      <c r="BQ41" s="117"/>
      <c r="BR41" s="117"/>
      <c r="BS41" s="117"/>
      <c r="BT41" s="117"/>
      <c r="BU41" s="117"/>
      <c r="BV41" s="117"/>
      <c r="BW41" s="117"/>
      <c r="BX41" s="117"/>
      <c r="BY41" s="117"/>
      <c r="BZ41" s="117"/>
      <c r="CA41" s="117"/>
      <c r="CB41" s="117"/>
      <c r="CC41" s="117"/>
      <c r="CD41" s="117"/>
      <c r="CE41" s="117"/>
      <c r="CF41" s="117"/>
      <c r="CG41" s="117"/>
      <c r="CH41" s="117"/>
      <c r="CI41" s="117"/>
      <c r="CJ41" s="117"/>
      <c r="CK41" s="117"/>
      <c r="CL41" s="117"/>
      <c r="CM41" s="117"/>
      <c r="CN41" s="117"/>
      <c r="CO41" s="117"/>
      <c r="CP41" s="117"/>
      <c r="CQ41" s="117"/>
      <c r="CR41" s="117"/>
      <c r="CS41" s="117"/>
      <c r="CT41" s="117"/>
      <c r="CU41" s="117"/>
      <c r="CV41" s="117"/>
      <c r="CW41" s="117"/>
      <c r="CX41" s="117"/>
      <c r="CY41" s="117"/>
      <c r="CZ41" s="117"/>
      <c r="DA41" s="117"/>
      <c r="DB41" s="117"/>
      <c r="DC41" s="117"/>
      <c r="DD41" s="117"/>
      <c r="DE41" s="117"/>
      <c r="DF41" s="117"/>
      <c r="DG41" s="117"/>
      <c r="DH41" s="117"/>
      <c r="DI41" s="117"/>
      <c r="DJ41" s="117"/>
      <c r="DK41" s="117"/>
      <c r="DL41" s="117"/>
      <c r="DM41" s="117"/>
    </row>
    <row r="42" spans="1:117" s="155" customFormat="1" ht="16.350000000000001" customHeight="1" x14ac:dyDescent="0.25">
      <c r="A42" s="117"/>
      <c r="B42" s="161"/>
      <c r="C42" s="162"/>
      <c r="D42" s="162"/>
      <c r="E42" s="163"/>
      <c r="F42" s="145"/>
      <c r="G42" s="166" t="s">
        <v>157</v>
      </c>
      <c r="H42" s="546">
        <f>'Staffels &amp; Tabellen'!$E$317</f>
        <v>0</v>
      </c>
      <c r="I42" s="546">
        <f>'Staffels &amp; Tabellen'!K302*$H$38</f>
        <v>0</v>
      </c>
      <c r="J42" s="224">
        <f>Uurtarieven!$C$4</f>
        <v>160</v>
      </c>
      <c r="K42" s="380">
        <f t="shared" si="5"/>
        <v>1</v>
      </c>
      <c r="L42" s="167"/>
      <c r="M42" s="361">
        <f t="shared" si="6"/>
        <v>0</v>
      </c>
      <c r="N42" s="362"/>
      <c r="O42" s="590">
        <f t="shared" si="7"/>
        <v>0</v>
      </c>
      <c r="P42" s="360"/>
      <c r="Q42" s="122"/>
      <c r="R42" s="122"/>
      <c r="S42" s="122"/>
      <c r="T42" s="122"/>
      <c r="U42" s="122"/>
      <c r="V42" s="122"/>
      <c r="W42" s="122"/>
      <c r="X42" s="122"/>
      <c r="Y42" s="122"/>
      <c r="Z42" s="122"/>
      <c r="AA42" s="122"/>
      <c r="AB42" s="122"/>
      <c r="AC42" s="122"/>
      <c r="AD42" s="122"/>
      <c r="AE42" s="122"/>
      <c r="AF42" s="122"/>
      <c r="AG42" s="122"/>
      <c r="AH42" s="122"/>
      <c r="AI42" s="122"/>
      <c r="AJ42" s="122"/>
      <c r="AK42" s="122"/>
      <c r="AL42" s="122"/>
      <c r="AM42" s="122"/>
      <c r="AN42" s="122"/>
      <c r="AO42" s="122"/>
      <c r="AP42" s="122"/>
      <c r="AQ42" s="122"/>
      <c r="AR42" s="117"/>
      <c r="AS42" s="117"/>
      <c r="AT42" s="117"/>
      <c r="AU42" s="117"/>
      <c r="AV42" s="117"/>
      <c r="AW42" s="117"/>
      <c r="AX42" s="117"/>
      <c r="AY42" s="117"/>
      <c r="AZ42" s="117"/>
      <c r="BA42" s="117"/>
      <c r="BB42" s="117"/>
      <c r="BC42" s="117"/>
      <c r="BD42" s="117"/>
      <c r="BE42" s="117"/>
      <c r="BF42" s="117"/>
      <c r="BG42" s="117"/>
      <c r="BH42" s="117"/>
      <c r="BI42" s="117"/>
      <c r="BJ42" s="117"/>
      <c r="BK42" s="117"/>
      <c r="BL42" s="117"/>
      <c r="BM42" s="117"/>
      <c r="BN42" s="117"/>
      <c r="BO42" s="117"/>
      <c r="BP42" s="117"/>
      <c r="BQ42" s="117"/>
      <c r="BR42" s="117"/>
      <c r="BS42" s="117"/>
      <c r="BT42" s="117"/>
      <c r="BU42" s="117"/>
      <c r="BV42" s="117"/>
      <c r="BW42" s="117"/>
      <c r="BX42" s="117"/>
      <c r="BY42" s="117"/>
      <c r="BZ42" s="117"/>
      <c r="CA42" s="117"/>
      <c r="CB42" s="117"/>
      <c r="CC42" s="117"/>
      <c r="CD42" s="117"/>
      <c r="CE42" s="117"/>
      <c r="CF42" s="117"/>
      <c r="CG42" s="117"/>
      <c r="CH42" s="117"/>
      <c r="CI42" s="117"/>
      <c r="CJ42" s="117"/>
      <c r="CK42" s="117"/>
      <c r="CL42" s="117"/>
      <c r="CM42" s="117"/>
      <c r="CN42" s="117"/>
      <c r="CO42" s="117"/>
      <c r="CP42" s="117"/>
      <c r="CQ42" s="117"/>
      <c r="CR42" s="117"/>
      <c r="CS42" s="117"/>
      <c r="CT42" s="117"/>
      <c r="CU42" s="117"/>
      <c r="CV42" s="117"/>
      <c r="CW42" s="117"/>
      <c r="CX42" s="117"/>
      <c r="CY42" s="117"/>
      <c r="CZ42" s="117"/>
      <c r="DA42" s="117"/>
      <c r="DB42" s="117"/>
      <c r="DC42" s="117"/>
      <c r="DD42" s="117"/>
      <c r="DE42" s="117"/>
      <c r="DF42" s="117"/>
      <c r="DG42" s="117"/>
      <c r="DH42" s="117"/>
      <c r="DI42" s="117"/>
      <c r="DJ42" s="117"/>
      <c r="DK42" s="117"/>
      <c r="DL42" s="117"/>
      <c r="DM42" s="117"/>
    </row>
    <row r="43" spans="1:117" s="155" customFormat="1" ht="16.350000000000001" customHeight="1" x14ac:dyDescent="0.25">
      <c r="A43" s="117"/>
      <c r="B43" s="161"/>
      <c r="C43" s="162"/>
      <c r="D43" s="162"/>
      <c r="E43" s="163"/>
      <c r="F43" s="145"/>
      <c r="G43" s="166" t="s">
        <v>158</v>
      </c>
      <c r="H43" s="546">
        <f>'Staffels &amp; Tabellen'!$E$317</f>
        <v>0</v>
      </c>
      <c r="I43" s="546">
        <f>'Staffels &amp; Tabellen'!K303*$H$38</f>
        <v>0</v>
      </c>
      <c r="J43" s="224">
        <f>Uurtarieven!$C$5</f>
        <v>140</v>
      </c>
      <c r="K43" s="380">
        <f t="shared" si="5"/>
        <v>1</v>
      </c>
      <c r="L43" s="167"/>
      <c r="M43" s="426">
        <f t="shared" si="6"/>
        <v>0</v>
      </c>
      <c r="N43" s="428"/>
      <c r="O43" s="427">
        <f t="shared" si="7"/>
        <v>0</v>
      </c>
      <c r="P43" s="430"/>
      <c r="Q43" s="122"/>
      <c r="R43" s="122"/>
      <c r="S43" s="122"/>
      <c r="T43" s="122"/>
      <c r="U43" s="122"/>
      <c r="V43" s="122"/>
      <c r="W43" s="122"/>
      <c r="X43" s="122"/>
      <c r="Y43" s="122"/>
      <c r="Z43" s="122"/>
      <c r="AA43" s="122"/>
      <c r="AB43" s="122"/>
      <c r="AC43" s="122"/>
      <c r="AD43" s="122"/>
      <c r="AE43" s="122"/>
      <c r="AF43" s="122"/>
      <c r="AG43" s="122"/>
      <c r="AH43" s="122"/>
      <c r="AI43" s="122"/>
      <c r="AJ43" s="122"/>
      <c r="AK43" s="122"/>
      <c r="AL43" s="122"/>
      <c r="AM43" s="122"/>
      <c r="AN43" s="122"/>
      <c r="AO43" s="122"/>
      <c r="AP43" s="122"/>
      <c r="AQ43" s="122"/>
      <c r="AR43" s="117"/>
      <c r="AS43" s="117"/>
      <c r="AT43" s="117"/>
      <c r="AU43" s="117"/>
      <c r="AV43" s="117"/>
      <c r="AW43" s="117"/>
      <c r="AX43" s="117"/>
      <c r="AY43" s="117"/>
      <c r="AZ43" s="117"/>
      <c r="BA43" s="117"/>
      <c r="BB43" s="117"/>
      <c r="BC43" s="117"/>
      <c r="BD43" s="117"/>
      <c r="BE43" s="117"/>
      <c r="BF43" s="117"/>
      <c r="BG43" s="117"/>
      <c r="BH43" s="117"/>
      <c r="BI43" s="117"/>
      <c r="BJ43" s="117"/>
      <c r="BK43" s="117"/>
      <c r="BL43" s="117"/>
      <c r="BM43" s="117"/>
      <c r="BN43" s="117"/>
      <c r="BO43" s="117"/>
      <c r="BP43" s="117"/>
      <c r="BQ43" s="117"/>
      <c r="BR43" s="117"/>
      <c r="BS43" s="117"/>
      <c r="BT43" s="117"/>
      <c r="BU43" s="117"/>
      <c r="BV43" s="117"/>
      <c r="BW43" s="117"/>
      <c r="BX43" s="117"/>
      <c r="BY43" s="117"/>
      <c r="BZ43" s="117"/>
      <c r="CA43" s="117"/>
      <c r="CB43" s="117"/>
      <c r="CC43" s="117"/>
      <c r="CD43" s="117"/>
      <c r="CE43" s="117"/>
      <c r="CF43" s="117"/>
      <c r="CG43" s="117"/>
      <c r="CH43" s="117"/>
      <c r="CI43" s="117"/>
      <c r="CJ43" s="117"/>
      <c r="CK43" s="117"/>
      <c r="CL43" s="117"/>
      <c r="CM43" s="117"/>
      <c r="CN43" s="117"/>
      <c r="CO43" s="117"/>
      <c r="CP43" s="117"/>
      <c r="CQ43" s="117"/>
      <c r="CR43" s="117"/>
      <c r="CS43" s="117"/>
      <c r="CT43" s="117"/>
      <c r="CU43" s="117"/>
      <c r="CV43" s="117"/>
      <c r="CW43" s="117"/>
      <c r="CX43" s="117"/>
      <c r="CY43" s="117"/>
      <c r="CZ43" s="117"/>
      <c r="DA43" s="117"/>
      <c r="DB43" s="117"/>
      <c r="DC43" s="117"/>
      <c r="DD43" s="117"/>
      <c r="DE43" s="117"/>
      <c r="DF43" s="117"/>
      <c r="DG43" s="117"/>
      <c r="DH43" s="117"/>
      <c r="DI43" s="117"/>
      <c r="DJ43" s="117"/>
      <c r="DK43" s="117"/>
      <c r="DL43" s="117"/>
      <c r="DM43" s="117"/>
    </row>
    <row r="44" spans="1:117" s="155" customFormat="1" ht="16.350000000000001" customHeight="1" x14ac:dyDescent="0.25">
      <c r="A44" s="117"/>
      <c r="B44" s="161"/>
      <c r="C44" s="162"/>
      <c r="D44" s="162"/>
      <c r="E44" s="163"/>
      <c r="F44" s="145"/>
      <c r="G44" s="151"/>
      <c r="H44" s="111"/>
      <c r="I44" s="165"/>
      <c r="J44" s="223"/>
      <c r="K44" s="380"/>
      <c r="L44" s="167"/>
      <c r="M44" s="361"/>
      <c r="N44" s="364">
        <f>SUM(M38:M43)</f>
        <v>0</v>
      </c>
      <c r="O44" s="590"/>
      <c r="P44" s="366">
        <f>SUM(O38:O43)</f>
        <v>0</v>
      </c>
      <c r="Q44" s="122"/>
      <c r="R44" s="122"/>
      <c r="S44" s="122"/>
      <c r="T44" s="122"/>
      <c r="U44" s="122"/>
      <c r="V44" s="122"/>
      <c r="W44" s="122"/>
      <c r="X44" s="122"/>
      <c r="Y44" s="122"/>
      <c r="Z44" s="122"/>
      <c r="AA44" s="122"/>
      <c r="AB44" s="122"/>
      <c r="AC44" s="122"/>
      <c r="AD44" s="122"/>
      <c r="AE44" s="122"/>
      <c r="AF44" s="122"/>
      <c r="AG44" s="122"/>
      <c r="AH44" s="122"/>
      <c r="AI44" s="122"/>
      <c r="AJ44" s="122"/>
      <c r="AK44" s="122"/>
      <c r="AL44" s="122"/>
      <c r="AM44" s="122"/>
      <c r="AN44" s="122"/>
      <c r="AO44" s="122"/>
      <c r="AP44" s="122"/>
      <c r="AQ44" s="122"/>
      <c r="AR44" s="117"/>
      <c r="AS44" s="117"/>
      <c r="AT44" s="117"/>
      <c r="AU44" s="117"/>
      <c r="AV44" s="117"/>
      <c r="AW44" s="117"/>
      <c r="AX44" s="117"/>
      <c r="AY44" s="117"/>
      <c r="AZ44" s="117"/>
      <c r="BA44" s="117"/>
      <c r="BB44" s="117"/>
      <c r="BC44" s="117"/>
      <c r="BD44" s="117"/>
      <c r="BE44" s="117"/>
      <c r="BF44" s="117"/>
      <c r="BG44" s="117"/>
      <c r="BH44" s="117"/>
      <c r="BI44" s="117"/>
      <c r="BJ44" s="117"/>
      <c r="BK44" s="117"/>
      <c r="BL44" s="117"/>
      <c r="BM44" s="117"/>
      <c r="BN44" s="117"/>
      <c r="BO44" s="117"/>
      <c r="BP44" s="117"/>
      <c r="BQ44" s="117"/>
      <c r="BR44" s="117"/>
      <c r="BS44" s="117"/>
      <c r="BT44" s="117"/>
      <c r="BU44" s="117"/>
      <c r="BV44" s="117"/>
      <c r="BW44" s="117"/>
      <c r="BX44" s="117"/>
      <c r="BY44" s="117"/>
      <c r="BZ44" s="117"/>
      <c r="CA44" s="117"/>
      <c r="CB44" s="117"/>
      <c r="CC44" s="117"/>
      <c r="CD44" s="117"/>
      <c r="CE44" s="117"/>
      <c r="CF44" s="117"/>
      <c r="CG44" s="117"/>
      <c r="CH44" s="117"/>
      <c r="CI44" s="117"/>
      <c r="CJ44" s="117"/>
      <c r="CK44" s="117"/>
      <c r="CL44" s="117"/>
      <c r="CM44" s="117"/>
      <c r="CN44" s="117"/>
      <c r="CO44" s="117"/>
      <c r="CP44" s="117"/>
      <c r="CQ44" s="117"/>
      <c r="CR44" s="117"/>
      <c r="CS44" s="117"/>
      <c r="CT44" s="117"/>
      <c r="CU44" s="117"/>
      <c r="CV44" s="117"/>
      <c r="CW44" s="117"/>
      <c r="CX44" s="117"/>
      <c r="CY44" s="117"/>
      <c r="CZ44" s="117"/>
      <c r="DA44" s="117"/>
      <c r="DB44" s="117"/>
      <c r="DC44" s="117"/>
      <c r="DD44" s="117"/>
      <c r="DE44" s="117"/>
      <c r="DF44" s="117"/>
      <c r="DG44" s="117"/>
      <c r="DH44" s="117"/>
      <c r="DI44" s="117"/>
      <c r="DJ44" s="117"/>
      <c r="DK44" s="117"/>
      <c r="DL44" s="117"/>
      <c r="DM44" s="117"/>
    </row>
    <row r="45" spans="1:117" s="155" customFormat="1" ht="16.350000000000001" customHeight="1" thickBot="1" x14ac:dyDescent="0.3">
      <c r="A45" s="117"/>
      <c r="B45" s="161"/>
      <c r="C45" s="162"/>
      <c r="D45" s="162"/>
      <c r="E45" s="163"/>
      <c r="F45" s="145"/>
      <c r="G45" s="151"/>
      <c r="H45" s="111"/>
      <c r="I45" s="165"/>
      <c r="J45" s="223"/>
      <c r="K45" s="380"/>
      <c r="L45" s="167"/>
      <c r="M45" s="361"/>
      <c r="O45" s="590"/>
      <c r="P45" s="360"/>
      <c r="Q45" s="122"/>
      <c r="R45" s="122"/>
      <c r="S45" s="122"/>
      <c r="T45" s="122"/>
      <c r="U45" s="122"/>
      <c r="V45" s="122"/>
      <c r="W45" s="122"/>
      <c r="X45" s="122"/>
      <c r="Y45" s="122"/>
      <c r="Z45" s="122"/>
      <c r="AA45" s="122"/>
      <c r="AB45" s="122"/>
      <c r="AC45" s="122"/>
      <c r="AD45" s="122"/>
      <c r="AE45" s="122"/>
      <c r="AF45" s="122"/>
      <c r="AG45" s="122"/>
      <c r="AH45" s="122"/>
      <c r="AI45" s="122"/>
      <c r="AJ45" s="122"/>
      <c r="AK45" s="122"/>
      <c r="AL45" s="122"/>
      <c r="AM45" s="122"/>
      <c r="AN45" s="122"/>
      <c r="AO45" s="122"/>
      <c r="AP45" s="122"/>
      <c r="AQ45" s="122"/>
      <c r="AR45" s="117"/>
      <c r="AS45" s="117"/>
      <c r="AT45" s="117"/>
      <c r="AU45" s="117"/>
      <c r="AV45" s="117"/>
      <c r="AW45" s="117"/>
      <c r="AX45" s="117"/>
      <c r="AY45" s="117"/>
      <c r="AZ45" s="117"/>
      <c r="BA45" s="117"/>
      <c r="BB45" s="117"/>
      <c r="BC45" s="117"/>
      <c r="BD45" s="117"/>
      <c r="BE45" s="117"/>
      <c r="BF45" s="117"/>
      <c r="BG45" s="117"/>
      <c r="BH45" s="117"/>
      <c r="BI45" s="117"/>
      <c r="BJ45" s="117"/>
      <c r="BK45" s="117"/>
      <c r="BL45" s="117"/>
      <c r="BM45" s="117"/>
      <c r="BN45" s="117"/>
      <c r="BO45" s="117"/>
      <c r="BP45" s="117"/>
      <c r="BQ45" s="117"/>
      <c r="BR45" s="117"/>
      <c r="BS45" s="117"/>
      <c r="BT45" s="117"/>
      <c r="BU45" s="117"/>
      <c r="BV45" s="117"/>
      <c r="BW45" s="117"/>
      <c r="BX45" s="117"/>
      <c r="BY45" s="117"/>
      <c r="BZ45" s="117"/>
      <c r="CA45" s="117"/>
      <c r="CB45" s="117"/>
      <c r="CC45" s="117"/>
      <c r="CD45" s="117"/>
      <c r="CE45" s="117"/>
      <c r="CF45" s="117"/>
      <c r="CG45" s="117"/>
      <c r="CH45" s="117"/>
      <c r="CI45" s="117"/>
      <c r="CJ45" s="117"/>
      <c r="CK45" s="117"/>
      <c r="CL45" s="117"/>
      <c r="CM45" s="117"/>
      <c r="CN45" s="117"/>
      <c r="CO45" s="117"/>
      <c r="CP45" s="117"/>
      <c r="CQ45" s="117"/>
      <c r="CR45" s="117"/>
      <c r="CS45" s="117"/>
      <c r="CT45" s="117"/>
      <c r="CU45" s="117"/>
      <c r="CV45" s="117"/>
      <c r="CW45" s="117"/>
      <c r="CX45" s="117"/>
      <c r="CY45" s="117"/>
      <c r="CZ45" s="117"/>
      <c r="DA45" s="117"/>
      <c r="DB45" s="117"/>
      <c r="DC45" s="117"/>
      <c r="DD45" s="117"/>
      <c r="DE45" s="117"/>
      <c r="DF45" s="117"/>
      <c r="DG45" s="117"/>
      <c r="DH45" s="117"/>
      <c r="DI45" s="117"/>
      <c r="DJ45" s="117"/>
      <c r="DK45" s="117"/>
      <c r="DL45" s="117"/>
      <c r="DM45" s="117"/>
    </row>
    <row r="46" spans="1:117" s="155" customFormat="1" ht="16.350000000000001" customHeight="1" thickBot="1" x14ac:dyDescent="0.3">
      <c r="A46" s="117"/>
      <c r="B46" s="161"/>
      <c r="C46" s="162"/>
      <c r="D46" s="162"/>
      <c r="E46" s="163" t="s">
        <v>159</v>
      </c>
      <c r="F46" s="145"/>
      <c r="G46" s="166" t="s">
        <v>160</v>
      </c>
      <c r="H46" s="82">
        <f>H38</f>
        <v>0</v>
      </c>
      <c r="I46" s="165">
        <f>IF(Vragenlijst!E13='Drop Down '!B2,'Staffels &amp; Tabellen'!D89,'Staffels &amp; Tabellen'!G89)</f>
        <v>25</v>
      </c>
      <c r="J46" s="223">
        <f>Uurtarieven!$C$7</f>
        <v>160</v>
      </c>
      <c r="K46" s="380">
        <f>1+SUM($D$8:$D$12)</f>
        <v>1</v>
      </c>
      <c r="L46" s="145"/>
      <c r="M46" s="361">
        <f>K46*J46*I46*H46</f>
        <v>0</v>
      </c>
      <c r="N46" s="359"/>
      <c r="O46" s="590">
        <f>H46*I46*K46</f>
        <v>0</v>
      </c>
      <c r="P46" s="360"/>
      <c r="Q46" s="122"/>
      <c r="R46" s="71" t="s">
        <v>149</v>
      </c>
      <c r="S46" s="122"/>
      <c r="T46" s="122"/>
      <c r="U46" s="122"/>
      <c r="V46" s="122"/>
      <c r="W46" s="122"/>
      <c r="X46" s="122"/>
      <c r="Y46" s="122"/>
      <c r="Z46" s="122"/>
      <c r="AA46" s="122"/>
      <c r="AB46" s="122"/>
      <c r="AC46" s="122"/>
      <c r="AD46" s="122"/>
      <c r="AE46" s="122"/>
      <c r="AF46" s="122"/>
      <c r="AG46" s="122"/>
      <c r="AH46" s="122"/>
      <c r="AI46" s="122"/>
      <c r="AJ46" s="122"/>
      <c r="AK46" s="122"/>
      <c r="AL46" s="122"/>
      <c r="AM46" s="122"/>
      <c r="AN46" s="122"/>
      <c r="AO46" s="122"/>
      <c r="AP46" s="122"/>
      <c r="AQ46" s="122"/>
      <c r="AR46" s="117"/>
      <c r="AS46" s="117"/>
      <c r="AT46" s="117"/>
      <c r="AU46" s="117"/>
      <c r="AV46" s="117"/>
      <c r="AW46" s="117"/>
      <c r="AX46" s="117"/>
      <c r="AY46" s="117"/>
      <c r="AZ46" s="117"/>
      <c r="BA46" s="117"/>
      <c r="BB46" s="117"/>
      <c r="BC46" s="117"/>
      <c r="BD46" s="117"/>
      <c r="BE46" s="117"/>
      <c r="BF46" s="117"/>
      <c r="BG46" s="117"/>
      <c r="BH46" s="117"/>
      <c r="BI46" s="117"/>
      <c r="BJ46" s="117"/>
      <c r="BK46" s="117"/>
      <c r="BL46" s="117"/>
      <c r="BM46" s="117"/>
      <c r="BN46" s="117"/>
      <c r="BO46" s="117"/>
      <c r="BP46" s="117"/>
      <c r="BQ46" s="117"/>
      <c r="BR46" s="117"/>
      <c r="BS46" s="117"/>
      <c r="BT46" s="117"/>
      <c r="BU46" s="117"/>
      <c r="BV46" s="117"/>
      <c r="BW46" s="117"/>
      <c r="BX46" s="117"/>
      <c r="BY46" s="117"/>
      <c r="BZ46" s="117"/>
      <c r="CA46" s="117"/>
      <c r="CB46" s="117"/>
      <c r="CC46" s="117"/>
      <c r="CD46" s="117"/>
      <c r="CE46" s="117"/>
      <c r="CF46" s="117"/>
      <c r="CG46" s="117"/>
      <c r="CH46" s="117"/>
      <c r="CI46" s="117"/>
      <c r="CJ46" s="117"/>
      <c r="CK46" s="117"/>
      <c r="CL46" s="117"/>
      <c r="CM46" s="117"/>
      <c r="CN46" s="117"/>
      <c r="CO46" s="117"/>
      <c r="CP46" s="117"/>
      <c r="CQ46" s="117"/>
      <c r="CR46" s="117"/>
      <c r="CS46" s="117"/>
      <c r="CT46" s="117"/>
      <c r="CU46" s="117"/>
      <c r="CV46" s="117"/>
      <c r="CW46" s="117"/>
      <c r="CX46" s="117"/>
      <c r="CY46" s="117"/>
      <c r="CZ46" s="117"/>
      <c r="DA46" s="117"/>
      <c r="DB46" s="117"/>
      <c r="DC46" s="117"/>
      <c r="DD46" s="117"/>
      <c r="DE46" s="117"/>
      <c r="DF46" s="117"/>
      <c r="DG46" s="117"/>
      <c r="DH46" s="117"/>
      <c r="DI46" s="117"/>
      <c r="DJ46" s="117"/>
      <c r="DK46" s="117"/>
      <c r="DL46" s="117"/>
      <c r="DM46" s="117"/>
    </row>
    <row r="47" spans="1:117" s="155" customFormat="1" x14ac:dyDescent="0.25">
      <c r="A47" s="117"/>
      <c r="B47" s="161"/>
      <c r="C47" s="169"/>
      <c r="D47" s="169"/>
      <c r="E47" s="163"/>
      <c r="F47" s="145"/>
      <c r="G47" s="166" t="s">
        <v>150</v>
      </c>
      <c r="H47" s="82">
        <v>0.1</v>
      </c>
      <c r="I47" s="165">
        <f>I46*H46</f>
        <v>0</v>
      </c>
      <c r="J47" s="223">
        <f>Uurtarieven!$C$11</f>
        <v>181</v>
      </c>
      <c r="K47" s="380">
        <f>1+SUM($D$8:$D$12)</f>
        <v>1</v>
      </c>
      <c r="L47" s="167"/>
      <c r="M47" s="426">
        <f>K47*J47*I47*H47</f>
        <v>0</v>
      </c>
      <c r="N47" s="428"/>
      <c r="O47" s="427">
        <f>H47*I47*K47</f>
        <v>0</v>
      </c>
      <c r="P47" s="429"/>
      <c r="Q47" s="122"/>
      <c r="R47" s="122"/>
      <c r="S47" s="122"/>
      <c r="T47" s="122"/>
      <c r="U47" s="122"/>
      <c r="V47" s="122"/>
      <c r="W47" s="122"/>
      <c r="X47" s="122"/>
      <c r="Y47" s="122"/>
      <c r="Z47" s="122"/>
      <c r="AA47" s="122"/>
      <c r="AB47" s="122"/>
      <c r="AC47" s="122"/>
      <c r="AD47" s="122"/>
      <c r="AE47" s="122"/>
      <c r="AF47" s="122"/>
      <c r="AG47" s="122"/>
      <c r="AH47" s="122"/>
      <c r="AI47" s="122"/>
      <c r="AJ47" s="122"/>
      <c r="AK47" s="122"/>
      <c r="AL47" s="122"/>
      <c r="AM47" s="122"/>
      <c r="AN47" s="122"/>
      <c r="AO47" s="122"/>
      <c r="AP47" s="122"/>
      <c r="AQ47" s="122"/>
      <c r="AR47" s="117"/>
      <c r="AS47" s="117"/>
      <c r="AT47" s="117"/>
      <c r="AU47" s="117"/>
      <c r="AV47" s="117"/>
      <c r="AW47" s="117"/>
      <c r="AX47" s="117"/>
      <c r="AY47" s="117"/>
      <c r="AZ47" s="117"/>
      <c r="BA47" s="117"/>
      <c r="BB47" s="117"/>
      <c r="BC47" s="117"/>
      <c r="BD47" s="117"/>
      <c r="BE47" s="117"/>
      <c r="BF47" s="117"/>
      <c r="BG47" s="117"/>
      <c r="BH47" s="117"/>
      <c r="BI47" s="117"/>
      <c r="BJ47" s="117"/>
      <c r="BK47" s="117"/>
      <c r="BL47" s="117"/>
      <c r="BM47" s="117"/>
      <c r="BN47" s="117"/>
      <c r="BO47" s="117"/>
      <c r="BP47" s="117"/>
      <c r="BQ47" s="117"/>
      <c r="BR47" s="117"/>
      <c r="BS47" s="117"/>
      <c r="BT47" s="117"/>
      <c r="BU47" s="117"/>
      <c r="BV47" s="117"/>
      <c r="BW47" s="117"/>
      <c r="BX47" s="117"/>
      <c r="BY47" s="117"/>
      <c r="BZ47" s="117"/>
      <c r="CA47" s="117"/>
      <c r="CB47" s="117"/>
      <c r="CC47" s="117"/>
      <c r="CD47" s="117"/>
      <c r="CE47" s="117"/>
      <c r="CF47" s="117"/>
      <c r="CG47" s="117"/>
      <c r="CH47" s="117"/>
      <c r="CI47" s="117"/>
      <c r="CJ47" s="117"/>
      <c r="CK47" s="117"/>
      <c r="CL47" s="117"/>
      <c r="CM47" s="117"/>
      <c r="CN47" s="117"/>
      <c r="CO47" s="117"/>
      <c r="CP47" s="117"/>
      <c r="CQ47" s="117"/>
      <c r="CR47" s="117"/>
      <c r="CS47" s="117"/>
      <c r="CT47" s="117"/>
      <c r="CU47" s="117"/>
      <c r="CV47" s="117"/>
      <c r="CW47" s="117"/>
      <c r="CX47" s="117"/>
      <c r="CY47" s="117"/>
      <c r="CZ47" s="117"/>
      <c r="DA47" s="117"/>
      <c r="DB47" s="117"/>
      <c r="DC47" s="117"/>
      <c r="DD47" s="117"/>
      <c r="DE47" s="117"/>
      <c r="DF47" s="117"/>
      <c r="DG47" s="117"/>
      <c r="DH47" s="117"/>
      <c r="DI47" s="117"/>
      <c r="DJ47" s="117"/>
      <c r="DK47" s="117"/>
      <c r="DL47" s="117"/>
      <c r="DM47" s="117"/>
    </row>
    <row r="48" spans="1:117" s="155" customFormat="1" ht="16.350000000000001" customHeight="1" x14ac:dyDescent="0.25">
      <c r="A48" s="117"/>
      <c r="B48" s="161"/>
      <c r="C48" s="162"/>
      <c r="D48" s="162"/>
      <c r="E48" s="163"/>
      <c r="F48" s="145"/>
      <c r="G48" s="151"/>
      <c r="H48" s="111"/>
      <c r="I48" s="165"/>
      <c r="J48" s="224"/>
      <c r="K48" s="380"/>
      <c r="L48" s="167"/>
      <c r="M48" s="361"/>
      <c r="N48" s="364">
        <f>SUM(M46:M47)</f>
        <v>0</v>
      </c>
      <c r="O48" s="590"/>
      <c r="P48" s="366">
        <f>SUM(O46:O47)</f>
        <v>0</v>
      </c>
      <c r="Q48" s="122"/>
      <c r="R48" s="122"/>
      <c r="S48" s="122"/>
      <c r="T48" s="122"/>
      <c r="U48" s="122"/>
      <c r="V48" s="122"/>
      <c r="W48" s="122"/>
      <c r="X48" s="122"/>
      <c r="Y48" s="122"/>
      <c r="Z48" s="122"/>
      <c r="AA48" s="122"/>
      <c r="AB48" s="122"/>
      <c r="AC48" s="122"/>
      <c r="AD48" s="122"/>
      <c r="AE48" s="122"/>
      <c r="AF48" s="122"/>
      <c r="AG48" s="122"/>
      <c r="AH48" s="122"/>
      <c r="AI48" s="122"/>
      <c r="AJ48" s="122"/>
      <c r="AK48" s="122"/>
      <c r="AL48" s="122"/>
      <c r="AM48" s="122"/>
      <c r="AN48" s="122"/>
      <c r="AO48" s="122"/>
      <c r="AP48" s="122"/>
      <c r="AQ48" s="122"/>
      <c r="AR48" s="117"/>
      <c r="AS48" s="117"/>
      <c r="AT48" s="117"/>
      <c r="AU48" s="117"/>
      <c r="AV48" s="117"/>
      <c r="AW48" s="117"/>
      <c r="AX48" s="117"/>
      <c r="AY48" s="117"/>
      <c r="AZ48" s="117"/>
      <c r="BA48" s="117"/>
      <c r="BB48" s="117"/>
      <c r="BC48" s="117"/>
      <c r="BD48" s="117"/>
      <c r="BE48" s="117"/>
      <c r="BF48" s="117"/>
      <c r="BG48" s="117"/>
      <c r="BH48" s="117"/>
      <c r="BI48" s="117"/>
      <c r="BJ48" s="117"/>
      <c r="BK48" s="117"/>
      <c r="BL48" s="117"/>
      <c r="BM48" s="117"/>
      <c r="BN48" s="117"/>
      <c r="BO48" s="117"/>
      <c r="BP48" s="117"/>
      <c r="BQ48" s="117"/>
      <c r="BR48" s="117"/>
      <c r="BS48" s="117"/>
      <c r="BT48" s="117"/>
      <c r="BU48" s="117"/>
      <c r="BV48" s="117"/>
      <c r="BW48" s="117"/>
      <c r="BX48" s="117"/>
      <c r="BY48" s="117"/>
      <c r="BZ48" s="117"/>
      <c r="CA48" s="117"/>
      <c r="CB48" s="117"/>
      <c r="CC48" s="117"/>
      <c r="CD48" s="117"/>
      <c r="CE48" s="117"/>
      <c r="CF48" s="117"/>
      <c r="CG48" s="117"/>
      <c r="CH48" s="117"/>
      <c r="CI48" s="117"/>
      <c r="CJ48" s="117"/>
      <c r="CK48" s="117"/>
      <c r="CL48" s="117"/>
      <c r="CM48" s="117"/>
      <c r="CN48" s="117"/>
      <c r="CO48" s="117"/>
      <c r="CP48" s="117"/>
      <c r="CQ48" s="117"/>
      <c r="CR48" s="117"/>
      <c r="CS48" s="117"/>
      <c r="CT48" s="117"/>
      <c r="CU48" s="117"/>
      <c r="CV48" s="117"/>
      <c r="CW48" s="117"/>
      <c r="CX48" s="117"/>
      <c r="CY48" s="117"/>
      <c r="CZ48" s="117"/>
      <c r="DA48" s="117"/>
      <c r="DB48" s="117"/>
      <c r="DC48" s="117"/>
      <c r="DD48" s="117"/>
      <c r="DE48" s="117"/>
      <c r="DF48" s="117"/>
      <c r="DG48" s="117"/>
      <c r="DH48" s="117"/>
      <c r="DI48" s="117"/>
      <c r="DJ48" s="117"/>
      <c r="DK48" s="117"/>
      <c r="DL48" s="117"/>
      <c r="DM48" s="117"/>
    </row>
    <row r="49" spans="1:117" s="155" customFormat="1" x14ac:dyDescent="0.25">
      <c r="A49" s="117"/>
      <c r="B49" s="161"/>
      <c r="C49" s="162"/>
      <c r="D49" s="162"/>
      <c r="E49" s="173"/>
      <c r="F49" s="145"/>
      <c r="G49" s="151"/>
      <c r="H49" s="111"/>
      <c r="I49" s="165"/>
      <c r="J49" s="224"/>
      <c r="K49" s="380"/>
      <c r="L49" s="167"/>
      <c r="M49" s="361"/>
      <c r="N49" s="362"/>
      <c r="O49" s="590"/>
      <c r="P49" s="363"/>
      <c r="Q49" s="122"/>
      <c r="R49" s="122"/>
      <c r="S49" s="122"/>
      <c r="T49" s="122"/>
      <c r="U49" s="122"/>
      <c r="V49" s="122"/>
      <c r="W49" s="122"/>
      <c r="X49" s="122"/>
      <c r="Y49" s="122"/>
      <c r="Z49" s="122"/>
      <c r="AA49" s="122"/>
      <c r="AB49" s="122"/>
      <c r="AC49" s="122"/>
      <c r="AD49" s="122"/>
      <c r="AE49" s="122"/>
      <c r="AF49" s="122"/>
      <c r="AG49" s="122"/>
      <c r="AH49" s="122"/>
      <c r="AI49" s="122"/>
      <c r="AJ49" s="122"/>
      <c r="AK49" s="122"/>
      <c r="AL49" s="122"/>
      <c r="AM49" s="122"/>
      <c r="AN49" s="122"/>
      <c r="AO49" s="122"/>
      <c r="AP49" s="122"/>
      <c r="AQ49" s="122"/>
      <c r="AR49" s="117"/>
      <c r="AS49" s="117"/>
      <c r="AT49" s="117"/>
      <c r="AU49" s="117"/>
      <c r="AV49" s="117"/>
      <c r="AW49" s="117"/>
      <c r="AX49" s="117"/>
      <c r="AY49" s="117"/>
      <c r="AZ49" s="117"/>
      <c r="BA49" s="117"/>
      <c r="BB49" s="117"/>
      <c r="BC49" s="117"/>
      <c r="BD49" s="117"/>
      <c r="BE49" s="117"/>
      <c r="BF49" s="117"/>
      <c r="BG49" s="117"/>
      <c r="BH49" s="117"/>
      <c r="BI49" s="117"/>
      <c r="BJ49" s="117"/>
      <c r="BK49" s="117"/>
      <c r="BL49" s="117"/>
      <c r="BM49" s="117"/>
      <c r="BN49" s="117"/>
      <c r="BO49" s="117"/>
      <c r="BP49" s="117"/>
      <c r="BQ49" s="117"/>
      <c r="BR49" s="117"/>
      <c r="BS49" s="117"/>
      <c r="BT49" s="117"/>
      <c r="BU49" s="117"/>
      <c r="BV49" s="117"/>
      <c r="BW49" s="117"/>
      <c r="BX49" s="117"/>
      <c r="BY49" s="117"/>
      <c r="BZ49" s="117"/>
      <c r="CA49" s="117"/>
      <c r="CB49" s="117"/>
      <c r="CC49" s="117"/>
      <c r="CD49" s="117"/>
      <c r="CE49" s="117"/>
      <c r="CF49" s="117"/>
      <c r="CG49" s="117"/>
      <c r="CH49" s="117"/>
      <c r="CI49" s="117"/>
      <c r="CJ49" s="117"/>
      <c r="CK49" s="117"/>
      <c r="CL49" s="117"/>
      <c r="CM49" s="117"/>
      <c r="CN49" s="117"/>
      <c r="CO49" s="117"/>
      <c r="CP49" s="117"/>
      <c r="CQ49" s="117"/>
      <c r="CR49" s="117"/>
      <c r="CS49" s="117"/>
      <c r="CT49" s="117"/>
      <c r="CU49" s="117"/>
      <c r="CV49" s="117"/>
      <c r="CW49" s="117"/>
      <c r="CX49" s="117"/>
      <c r="CY49" s="117"/>
      <c r="CZ49" s="117"/>
      <c r="DA49" s="117"/>
      <c r="DB49" s="117"/>
      <c r="DC49" s="117"/>
      <c r="DD49" s="117"/>
      <c r="DE49" s="117"/>
      <c r="DF49" s="117"/>
      <c r="DG49" s="117"/>
      <c r="DH49" s="117"/>
      <c r="DI49" s="117"/>
      <c r="DJ49" s="117"/>
      <c r="DK49" s="117"/>
      <c r="DL49" s="117"/>
      <c r="DM49" s="117"/>
    </row>
    <row r="50" spans="1:117" s="155" customFormat="1" x14ac:dyDescent="0.25">
      <c r="A50" s="117"/>
      <c r="B50" s="161"/>
      <c r="C50" s="162"/>
      <c r="D50" s="162"/>
      <c r="E50" s="173"/>
      <c r="F50" s="145"/>
      <c r="G50" s="151"/>
      <c r="H50" s="111"/>
      <c r="I50" s="640"/>
      <c r="J50" s="224"/>
      <c r="K50" s="380"/>
      <c r="L50" s="167"/>
      <c r="M50" s="361"/>
      <c r="N50" s="362"/>
      <c r="O50" s="590"/>
      <c r="P50" s="363"/>
      <c r="Q50" s="122"/>
      <c r="R50" s="122"/>
      <c r="S50" s="122"/>
      <c r="T50" s="122"/>
      <c r="U50" s="122"/>
      <c r="V50" s="122"/>
      <c r="W50" s="122"/>
      <c r="X50" s="122"/>
      <c r="Y50" s="122"/>
      <c r="Z50" s="122"/>
      <c r="AA50" s="122"/>
      <c r="AB50" s="122"/>
      <c r="AC50" s="122"/>
      <c r="AD50" s="122"/>
      <c r="AE50" s="122"/>
      <c r="AF50" s="122"/>
      <c r="AG50" s="122"/>
      <c r="AH50" s="122"/>
      <c r="AI50" s="122"/>
      <c r="AJ50" s="122"/>
      <c r="AK50" s="122"/>
      <c r="AL50" s="122"/>
      <c r="AM50" s="122"/>
      <c r="AN50" s="122"/>
      <c r="AO50" s="122"/>
      <c r="AP50" s="122"/>
      <c r="AQ50" s="122"/>
      <c r="AR50" s="117"/>
      <c r="AS50" s="117"/>
      <c r="AT50" s="117"/>
      <c r="AU50" s="117"/>
      <c r="AV50" s="117"/>
      <c r="AW50" s="117"/>
      <c r="AX50" s="117"/>
      <c r="AY50" s="117"/>
      <c r="AZ50" s="117"/>
      <c r="BA50" s="117"/>
      <c r="BB50" s="117"/>
      <c r="BC50" s="117"/>
      <c r="BD50" s="117"/>
      <c r="BE50" s="117"/>
      <c r="BF50" s="117"/>
      <c r="BG50" s="117"/>
      <c r="BH50" s="117"/>
      <c r="BI50" s="117"/>
      <c r="BJ50" s="117"/>
      <c r="BK50" s="117"/>
      <c r="BL50" s="117"/>
      <c r="BM50" s="117"/>
      <c r="BN50" s="117"/>
      <c r="BO50" s="117"/>
      <c r="BP50" s="117"/>
      <c r="BQ50" s="117"/>
      <c r="BR50" s="117"/>
      <c r="BS50" s="117"/>
      <c r="BT50" s="117"/>
      <c r="BU50" s="117"/>
      <c r="BV50" s="117"/>
      <c r="BW50" s="117"/>
      <c r="BX50" s="117"/>
      <c r="BY50" s="117"/>
      <c r="BZ50" s="117"/>
      <c r="CA50" s="117"/>
      <c r="CB50" s="117"/>
      <c r="CC50" s="117"/>
      <c r="CD50" s="117"/>
      <c r="CE50" s="117"/>
      <c r="CF50" s="117"/>
      <c r="CG50" s="117"/>
      <c r="CH50" s="117"/>
      <c r="CI50" s="117"/>
      <c r="CJ50" s="117"/>
      <c r="CK50" s="117"/>
      <c r="CL50" s="117"/>
      <c r="CM50" s="117"/>
      <c r="CN50" s="117"/>
      <c r="CO50" s="117"/>
      <c r="CP50" s="117"/>
      <c r="CQ50" s="117"/>
      <c r="CR50" s="117"/>
      <c r="CS50" s="117"/>
      <c r="CT50" s="117"/>
      <c r="CU50" s="117"/>
      <c r="CV50" s="117"/>
      <c r="CW50" s="117"/>
      <c r="CX50" s="117"/>
      <c r="CY50" s="117"/>
      <c r="CZ50" s="117"/>
      <c r="DA50" s="117"/>
      <c r="DB50" s="117"/>
      <c r="DC50" s="117"/>
      <c r="DD50" s="117"/>
      <c r="DE50" s="117"/>
      <c r="DF50" s="117"/>
      <c r="DG50" s="117"/>
      <c r="DH50" s="117"/>
      <c r="DI50" s="117"/>
      <c r="DJ50" s="117"/>
      <c r="DK50" s="117"/>
      <c r="DL50" s="117"/>
      <c r="DM50" s="117"/>
    </row>
    <row r="51" spans="1:117" s="174" customFormat="1" ht="14.4" thickBot="1" x14ac:dyDescent="0.3">
      <c r="B51" s="156" t="s">
        <v>164</v>
      </c>
      <c r="C51" s="157" t="s">
        <v>71</v>
      </c>
      <c r="D51" s="157"/>
      <c r="E51" s="158"/>
      <c r="F51" s="175"/>
      <c r="G51" s="151"/>
      <c r="H51" s="112"/>
      <c r="I51" s="640"/>
      <c r="J51" s="225"/>
      <c r="K51" s="176"/>
      <c r="L51" s="167"/>
      <c r="M51" s="367"/>
      <c r="O51" s="591"/>
      <c r="P51" s="368"/>
      <c r="Q51" s="122"/>
      <c r="R51" s="122"/>
      <c r="S51" s="122"/>
      <c r="T51" s="122"/>
      <c r="U51" s="122"/>
      <c r="V51" s="122"/>
      <c r="W51" s="122"/>
      <c r="X51" s="122"/>
      <c r="Y51" s="122"/>
      <c r="Z51" s="122"/>
      <c r="AA51" s="122"/>
      <c r="AB51" s="122"/>
      <c r="AC51" s="122"/>
      <c r="AD51" s="122"/>
      <c r="AE51" s="122"/>
      <c r="AF51" s="122"/>
      <c r="AG51" s="122"/>
      <c r="AH51" s="122"/>
      <c r="AI51" s="122"/>
      <c r="AJ51" s="122"/>
      <c r="AK51" s="122"/>
      <c r="AL51" s="122"/>
      <c r="AM51" s="122"/>
      <c r="AN51" s="122"/>
      <c r="AO51" s="122"/>
      <c r="AP51" s="122"/>
      <c r="AQ51" s="122"/>
    </row>
    <row r="52" spans="1:117" s="174" customFormat="1" ht="14.4" thickBot="1" x14ac:dyDescent="0.3">
      <c r="B52" s="177"/>
      <c r="C52" s="565" t="s">
        <v>165</v>
      </c>
      <c r="D52" s="565"/>
      <c r="E52" s="163" t="s">
        <v>166</v>
      </c>
      <c r="F52" s="175"/>
      <c r="G52" s="166" t="s">
        <v>155</v>
      </c>
      <c r="H52" s="547">
        <f>Vragenlijst!E37</f>
        <v>0</v>
      </c>
      <c r="I52" s="381">
        <f>IF(Vragenlijst!E13='Drop Down '!B2,'Staffels &amp; Tabellen'!D104,'Staffels &amp; Tabellen'!D117)</f>
        <v>5</v>
      </c>
      <c r="J52" s="224">
        <f>Uurtarieven!$C$13</f>
        <v>160</v>
      </c>
      <c r="K52" s="380">
        <f t="shared" ref="K52:K58" si="8">1+$D$8+$D$9+$D$11+$D$12+$D$13</f>
        <v>1</v>
      </c>
      <c r="L52" s="167"/>
      <c r="M52" s="361">
        <f>IF(Vragenlijst!E55="Ja",K52*J52*I52*H52,0)</f>
        <v>0</v>
      </c>
      <c r="N52" s="362"/>
      <c r="O52" s="590">
        <f>IF(Vragenlijst!E55="Ja",H52*I52*K52,0)</f>
        <v>0</v>
      </c>
      <c r="P52" s="368"/>
      <c r="Q52" s="122"/>
      <c r="R52" s="71" t="s">
        <v>149</v>
      </c>
      <c r="S52" s="122"/>
      <c r="T52" s="122"/>
      <c r="U52" s="122"/>
      <c r="V52" s="122"/>
      <c r="W52" s="122"/>
      <c r="X52" s="122"/>
      <c r="Y52" s="122"/>
      <c r="Z52" s="122"/>
      <c r="AA52" s="122"/>
      <c r="AB52" s="122"/>
      <c r="AC52" s="122"/>
      <c r="AD52" s="122"/>
      <c r="AE52" s="122"/>
      <c r="AF52" s="122"/>
      <c r="AG52" s="122"/>
      <c r="AH52" s="122"/>
      <c r="AI52" s="122"/>
      <c r="AJ52" s="122"/>
      <c r="AK52" s="122"/>
      <c r="AL52" s="122"/>
      <c r="AM52" s="122"/>
      <c r="AN52" s="122"/>
      <c r="AO52" s="122"/>
      <c r="AP52" s="122"/>
      <c r="AQ52" s="122"/>
    </row>
    <row r="53" spans="1:117" s="174" customFormat="1" x14ac:dyDescent="0.25">
      <c r="B53" s="177"/>
      <c r="C53" s="157"/>
      <c r="D53" s="157"/>
      <c r="E53" s="171" t="s">
        <v>167</v>
      </c>
      <c r="F53" s="175"/>
      <c r="G53" s="166" t="s">
        <v>155</v>
      </c>
      <c r="H53" s="547">
        <f>SUM(Vragenlijst!E38:E40)/100</f>
        <v>0</v>
      </c>
      <c r="I53" s="381">
        <f>IF(Vragenlijst!E13='Drop Down '!B2,0.5,0.25)</f>
        <v>0.5</v>
      </c>
      <c r="J53" s="224">
        <f>Uurtarieven!$C$13</f>
        <v>160</v>
      </c>
      <c r="K53" s="380">
        <f t="shared" si="8"/>
        <v>1</v>
      </c>
      <c r="L53" s="167"/>
      <c r="M53" s="361">
        <f>IF(Vragenlijst!E55="Ja",K53*J53*I53*H53,0)</f>
        <v>0</v>
      </c>
      <c r="N53" s="362"/>
      <c r="O53" s="590">
        <f>IF(Vragenlijst!E55="Ja",H53*I53*K53,0)</f>
        <v>0</v>
      </c>
      <c r="P53" s="368"/>
      <c r="Q53" s="122"/>
      <c r="R53" s="122"/>
      <c r="S53" s="122"/>
      <c r="T53" s="122"/>
      <c r="U53" s="122"/>
      <c r="V53" s="122"/>
      <c r="W53" s="122"/>
      <c r="X53" s="122"/>
      <c r="Y53" s="122"/>
      <c r="Z53" s="122"/>
      <c r="AA53" s="122"/>
      <c r="AB53" s="122"/>
      <c r="AC53" s="122"/>
      <c r="AD53" s="122"/>
      <c r="AE53" s="122"/>
      <c r="AF53" s="122"/>
      <c r="AG53" s="122"/>
      <c r="AH53" s="122"/>
      <c r="AI53" s="122"/>
      <c r="AJ53" s="122"/>
      <c r="AK53" s="122"/>
      <c r="AL53" s="122"/>
      <c r="AM53" s="122"/>
      <c r="AN53" s="122"/>
      <c r="AO53" s="122"/>
      <c r="AP53" s="122"/>
      <c r="AQ53" s="122"/>
    </row>
    <row r="54" spans="1:117" s="155" customFormat="1" x14ac:dyDescent="0.25">
      <c r="A54" s="117"/>
      <c r="B54" s="161"/>
      <c r="C54" s="162"/>
      <c r="D54" s="162"/>
      <c r="E54" s="173"/>
      <c r="F54" s="145"/>
      <c r="G54" s="166" t="s">
        <v>150</v>
      </c>
      <c r="H54" s="546">
        <f>'Staffels &amp; Tabellen'!$F$317</f>
        <v>0</v>
      </c>
      <c r="I54" s="165">
        <f>'Staffels &amp; Tabellen'!L299</f>
        <v>6</v>
      </c>
      <c r="J54" s="224">
        <f>Uurtarieven!$C$11</f>
        <v>181</v>
      </c>
      <c r="K54" s="380">
        <f t="shared" si="8"/>
        <v>1</v>
      </c>
      <c r="L54" s="167"/>
      <c r="M54" s="361">
        <f>IF(Vragenlijst!E55="Ja",K54*J54*I54*H54,0)</f>
        <v>0</v>
      </c>
      <c r="N54" s="362"/>
      <c r="O54" s="590">
        <f>IF(Vragenlijst!E55="Ja",H54*I54*K54,0)</f>
        <v>0</v>
      </c>
      <c r="P54" s="363"/>
      <c r="Q54" s="122"/>
      <c r="R54" s="122"/>
      <c r="S54" s="122"/>
      <c r="T54" s="122"/>
      <c r="U54" s="122"/>
      <c r="V54" s="122"/>
      <c r="W54" s="122"/>
      <c r="X54" s="122"/>
      <c r="Y54" s="122"/>
      <c r="Z54" s="122"/>
      <c r="AA54" s="122"/>
      <c r="AB54" s="122"/>
      <c r="AC54" s="122"/>
      <c r="AD54" s="122"/>
      <c r="AE54" s="122"/>
      <c r="AF54" s="122"/>
      <c r="AG54" s="122"/>
      <c r="AH54" s="122"/>
      <c r="AI54" s="122"/>
      <c r="AJ54" s="122"/>
      <c r="AK54" s="122"/>
      <c r="AL54" s="122"/>
      <c r="AM54" s="122"/>
      <c r="AN54" s="122"/>
      <c r="AO54" s="122"/>
      <c r="AP54" s="122"/>
      <c r="AQ54" s="122"/>
      <c r="AR54" s="117"/>
      <c r="AS54" s="117"/>
      <c r="AT54" s="117"/>
      <c r="AU54" s="117"/>
      <c r="AV54" s="117"/>
      <c r="AW54" s="117"/>
      <c r="AX54" s="117"/>
      <c r="AY54" s="117"/>
      <c r="AZ54" s="117"/>
      <c r="BA54" s="117"/>
      <c r="BB54" s="117"/>
      <c r="BC54" s="117"/>
      <c r="BD54" s="117"/>
      <c r="BE54" s="117"/>
      <c r="BF54" s="117"/>
      <c r="BG54" s="117"/>
      <c r="BH54" s="117"/>
      <c r="BI54" s="117"/>
      <c r="BJ54" s="117"/>
      <c r="BK54" s="117"/>
      <c r="BL54" s="117"/>
      <c r="BM54" s="117"/>
      <c r="BN54" s="117"/>
      <c r="BO54" s="117"/>
      <c r="BP54" s="117"/>
      <c r="BQ54" s="117"/>
      <c r="BR54" s="117"/>
      <c r="BS54" s="117"/>
      <c r="BT54" s="117"/>
      <c r="BU54" s="117"/>
      <c r="BV54" s="117"/>
      <c r="BW54" s="117"/>
      <c r="BX54" s="117"/>
      <c r="BY54" s="117"/>
      <c r="BZ54" s="117"/>
      <c r="CA54" s="117"/>
      <c r="CB54" s="117"/>
      <c r="CC54" s="117"/>
      <c r="CD54" s="117"/>
      <c r="CE54" s="117"/>
      <c r="CF54" s="117"/>
      <c r="CG54" s="117"/>
      <c r="CH54" s="117"/>
      <c r="CI54" s="117"/>
      <c r="CJ54" s="117"/>
      <c r="CK54" s="117"/>
      <c r="CL54" s="117"/>
      <c r="CM54" s="117"/>
      <c r="CN54" s="117"/>
      <c r="CO54" s="117"/>
      <c r="CP54" s="117"/>
      <c r="CQ54" s="117"/>
      <c r="CR54" s="117"/>
      <c r="CS54" s="117"/>
      <c r="CT54" s="117"/>
      <c r="CU54" s="117"/>
      <c r="CV54" s="117"/>
      <c r="CW54" s="117"/>
      <c r="CX54" s="117"/>
      <c r="CY54" s="117"/>
      <c r="CZ54" s="117"/>
      <c r="DA54" s="117"/>
      <c r="DB54" s="117"/>
      <c r="DC54" s="117"/>
      <c r="DD54" s="117"/>
      <c r="DE54" s="117"/>
      <c r="DF54" s="117"/>
      <c r="DG54" s="117"/>
      <c r="DH54" s="117"/>
      <c r="DI54" s="117"/>
      <c r="DJ54" s="117"/>
      <c r="DK54" s="117"/>
      <c r="DL54" s="117"/>
      <c r="DM54" s="117"/>
    </row>
    <row r="55" spans="1:117" s="155" customFormat="1" x14ac:dyDescent="0.25">
      <c r="A55" s="117"/>
      <c r="B55" s="161"/>
      <c r="C55" s="162"/>
      <c r="D55" s="162"/>
      <c r="E55" s="173"/>
      <c r="F55" s="145"/>
      <c r="G55" s="166" t="s">
        <v>156</v>
      </c>
      <c r="H55" s="546">
        <f>'Staffels &amp; Tabellen'!$F$317</f>
        <v>0</v>
      </c>
      <c r="I55" s="165">
        <f>'Staffels &amp; Tabellen'!L301</f>
        <v>4</v>
      </c>
      <c r="J55" s="224">
        <f>Uurtarieven!$C$10</f>
        <v>160</v>
      </c>
      <c r="K55" s="380">
        <f t="shared" si="8"/>
        <v>1</v>
      </c>
      <c r="L55" s="167"/>
      <c r="M55" s="361">
        <f>IF(Vragenlijst!E55="Ja",K55*J55*I55*H55,0)</f>
        <v>0</v>
      </c>
      <c r="N55" s="362"/>
      <c r="O55" s="590">
        <f>IF(Vragenlijst!E55="Ja",H55*I55*K55,0)</f>
        <v>0</v>
      </c>
      <c r="P55" s="363"/>
      <c r="Q55" s="122"/>
      <c r="R55" s="122"/>
      <c r="S55" s="122"/>
      <c r="T55" s="122"/>
      <c r="U55" s="122"/>
      <c r="V55" s="122"/>
      <c r="W55" s="122"/>
      <c r="X55" s="122"/>
      <c r="Y55" s="122"/>
      <c r="Z55" s="122"/>
      <c r="AA55" s="122"/>
      <c r="AB55" s="122"/>
      <c r="AC55" s="122"/>
      <c r="AD55" s="122"/>
      <c r="AE55" s="122"/>
      <c r="AF55" s="122"/>
      <c r="AG55" s="122"/>
      <c r="AH55" s="122"/>
      <c r="AI55" s="122"/>
      <c r="AJ55" s="122"/>
      <c r="AK55" s="122"/>
      <c r="AL55" s="122"/>
      <c r="AM55" s="122"/>
      <c r="AN55" s="122"/>
      <c r="AO55" s="122"/>
      <c r="AP55" s="122"/>
      <c r="AQ55" s="122"/>
      <c r="AR55" s="117"/>
      <c r="AS55" s="117"/>
      <c r="AT55" s="117"/>
      <c r="AU55" s="117"/>
      <c r="AV55" s="117"/>
      <c r="AW55" s="117"/>
      <c r="AX55" s="117"/>
      <c r="AY55" s="117"/>
      <c r="AZ55" s="117"/>
      <c r="BA55" s="117"/>
      <c r="BB55" s="117"/>
      <c r="BC55" s="117"/>
      <c r="BD55" s="117"/>
      <c r="BE55" s="117"/>
      <c r="BF55" s="117"/>
      <c r="BG55" s="117"/>
      <c r="BH55" s="117"/>
      <c r="BI55" s="117"/>
      <c r="BJ55" s="117"/>
      <c r="BK55" s="117"/>
      <c r="BL55" s="117"/>
      <c r="BM55" s="117"/>
      <c r="BN55" s="117"/>
      <c r="BO55" s="117"/>
      <c r="BP55" s="117"/>
      <c r="BQ55" s="117"/>
      <c r="BR55" s="117"/>
      <c r="BS55" s="117"/>
      <c r="BT55" s="117"/>
      <c r="BU55" s="117"/>
      <c r="BV55" s="117"/>
      <c r="BW55" s="117"/>
      <c r="BX55" s="117"/>
      <c r="BY55" s="117"/>
      <c r="BZ55" s="117"/>
      <c r="CA55" s="117"/>
      <c r="CB55" s="117"/>
      <c r="CC55" s="117"/>
      <c r="CD55" s="117"/>
      <c r="CE55" s="117"/>
      <c r="CF55" s="117"/>
      <c r="CG55" s="117"/>
      <c r="CH55" s="117"/>
      <c r="CI55" s="117"/>
      <c r="CJ55" s="117"/>
      <c r="CK55" s="117"/>
      <c r="CL55" s="117"/>
      <c r="CM55" s="117"/>
      <c r="CN55" s="117"/>
      <c r="CO55" s="117"/>
      <c r="CP55" s="117"/>
      <c r="CQ55" s="117"/>
      <c r="CR55" s="117"/>
      <c r="CS55" s="117"/>
      <c r="CT55" s="117"/>
      <c r="CU55" s="117"/>
      <c r="CV55" s="117"/>
      <c r="CW55" s="117"/>
      <c r="CX55" s="117"/>
      <c r="CY55" s="117"/>
      <c r="CZ55" s="117"/>
      <c r="DA55" s="117"/>
      <c r="DB55" s="117"/>
      <c r="DC55" s="117"/>
      <c r="DD55" s="117"/>
      <c r="DE55" s="117"/>
      <c r="DF55" s="117"/>
      <c r="DG55" s="117"/>
      <c r="DH55" s="117"/>
      <c r="DI55" s="117"/>
      <c r="DJ55" s="117"/>
      <c r="DK55" s="117"/>
      <c r="DL55" s="117"/>
      <c r="DM55" s="117"/>
    </row>
    <row r="56" spans="1:117" s="155" customFormat="1" x14ac:dyDescent="0.25">
      <c r="A56" s="117"/>
      <c r="B56" s="161"/>
      <c r="C56" s="162"/>
      <c r="D56" s="162"/>
      <c r="E56" s="173"/>
      <c r="F56" s="145"/>
      <c r="G56" s="166" t="s">
        <v>158</v>
      </c>
      <c r="H56" s="546">
        <f>'Staffels &amp; Tabellen'!$F$317</f>
        <v>0</v>
      </c>
      <c r="I56" s="165">
        <f>'Staffels &amp; Tabellen'!L303</f>
        <v>2</v>
      </c>
      <c r="J56" s="224">
        <f>Uurtarieven!$C$5</f>
        <v>140</v>
      </c>
      <c r="K56" s="380">
        <f t="shared" si="8"/>
        <v>1</v>
      </c>
      <c r="L56" s="167"/>
      <c r="M56" s="361">
        <f>IF(Vragenlijst!E55="Ja",K56*J56*I56*H56,0)</f>
        <v>0</v>
      </c>
      <c r="N56" s="362"/>
      <c r="O56" s="590">
        <f>IF(Vragenlijst!E55="Ja",H56*I56*K56,0)</f>
        <v>0</v>
      </c>
      <c r="P56" s="363"/>
      <c r="Q56" s="122"/>
      <c r="R56" s="122"/>
      <c r="S56" s="122"/>
      <c r="T56" s="122"/>
      <c r="U56" s="122"/>
      <c r="V56" s="122"/>
      <c r="W56" s="122"/>
      <c r="X56" s="122"/>
      <c r="Y56" s="122"/>
      <c r="Z56" s="122"/>
      <c r="AA56" s="122"/>
      <c r="AB56" s="122"/>
      <c r="AC56" s="122"/>
      <c r="AD56" s="122"/>
      <c r="AE56" s="122"/>
      <c r="AF56" s="122"/>
      <c r="AG56" s="122"/>
      <c r="AH56" s="122"/>
      <c r="AI56" s="122"/>
      <c r="AJ56" s="122"/>
      <c r="AK56" s="122"/>
      <c r="AL56" s="122"/>
      <c r="AM56" s="122"/>
      <c r="AN56" s="122"/>
      <c r="AO56" s="122"/>
      <c r="AP56" s="122"/>
      <c r="AQ56" s="122"/>
      <c r="AR56" s="117"/>
      <c r="AS56" s="117"/>
      <c r="AT56" s="117"/>
      <c r="AU56" s="117"/>
      <c r="AV56" s="117"/>
      <c r="AW56" s="117"/>
      <c r="AX56" s="117"/>
      <c r="AY56" s="117"/>
      <c r="AZ56" s="117"/>
      <c r="BA56" s="117"/>
      <c r="BB56" s="117"/>
      <c r="BC56" s="117"/>
      <c r="BD56" s="117"/>
      <c r="BE56" s="117"/>
      <c r="BF56" s="117"/>
      <c r="BG56" s="117"/>
      <c r="BH56" s="117"/>
      <c r="BI56" s="117"/>
      <c r="BJ56" s="117"/>
      <c r="BK56" s="117"/>
      <c r="BL56" s="117"/>
      <c r="BM56" s="117"/>
      <c r="BN56" s="117"/>
      <c r="BO56" s="117"/>
      <c r="BP56" s="117"/>
      <c r="BQ56" s="117"/>
      <c r="BR56" s="117"/>
      <c r="BS56" s="117"/>
      <c r="BT56" s="117"/>
      <c r="BU56" s="117"/>
      <c r="BV56" s="117"/>
      <c r="BW56" s="117"/>
      <c r="BX56" s="117"/>
      <c r="BY56" s="117"/>
      <c r="BZ56" s="117"/>
      <c r="CA56" s="117"/>
      <c r="CB56" s="117"/>
      <c r="CC56" s="117"/>
      <c r="CD56" s="117"/>
      <c r="CE56" s="117"/>
      <c r="CF56" s="117"/>
      <c r="CG56" s="117"/>
      <c r="CH56" s="117"/>
      <c r="CI56" s="117"/>
      <c r="CJ56" s="117"/>
      <c r="CK56" s="117"/>
      <c r="CL56" s="117"/>
      <c r="CM56" s="117"/>
      <c r="CN56" s="117"/>
      <c r="CO56" s="117"/>
      <c r="CP56" s="117"/>
      <c r="CQ56" s="117"/>
      <c r="CR56" s="117"/>
      <c r="CS56" s="117"/>
      <c r="CT56" s="117"/>
      <c r="CU56" s="117"/>
      <c r="CV56" s="117"/>
      <c r="CW56" s="117"/>
      <c r="CX56" s="117"/>
      <c r="CY56" s="117"/>
      <c r="CZ56" s="117"/>
      <c r="DA56" s="117"/>
      <c r="DB56" s="117"/>
      <c r="DC56" s="117"/>
      <c r="DD56" s="117"/>
      <c r="DE56" s="117"/>
      <c r="DF56" s="117"/>
      <c r="DG56" s="117"/>
      <c r="DH56" s="117"/>
      <c r="DI56" s="117"/>
      <c r="DJ56" s="117"/>
      <c r="DK56" s="117"/>
      <c r="DL56" s="117"/>
      <c r="DM56" s="117"/>
    </row>
    <row r="57" spans="1:117" s="155" customFormat="1" x14ac:dyDescent="0.25">
      <c r="A57" s="117"/>
      <c r="B57" s="161"/>
      <c r="C57" s="162"/>
      <c r="D57" s="162"/>
      <c r="E57" s="173"/>
      <c r="F57" s="145"/>
      <c r="G57" s="166" t="s">
        <v>168</v>
      </c>
      <c r="H57" s="546">
        <f>'Staffels &amp; Tabellen'!$F$317</f>
        <v>0</v>
      </c>
      <c r="I57" s="165">
        <f>'Staffels &amp; Tabellen'!L304</f>
        <v>4</v>
      </c>
      <c r="J57" s="226">
        <f>Uurtarieven!$C$6</f>
        <v>160</v>
      </c>
      <c r="K57" s="380">
        <f t="shared" si="8"/>
        <v>1</v>
      </c>
      <c r="L57" s="167"/>
      <c r="M57" s="361">
        <f>IF(Vragenlijst!E55="Ja",K57*J57*I57*H57,0)</f>
        <v>0</v>
      </c>
      <c r="N57" s="362"/>
      <c r="O57" s="590">
        <f>IF(Vragenlijst!E55="Ja",H57*I57*K57,0)</f>
        <v>0</v>
      </c>
      <c r="P57" s="363"/>
      <c r="Q57" s="122"/>
      <c r="R57" s="122"/>
      <c r="S57" s="122"/>
      <c r="T57" s="122"/>
      <c r="U57" s="122"/>
      <c r="V57" s="122"/>
      <c r="W57" s="122"/>
      <c r="X57" s="122"/>
      <c r="Y57" s="122"/>
      <c r="Z57" s="122"/>
      <c r="AA57" s="122"/>
      <c r="AB57" s="122"/>
      <c r="AC57" s="122"/>
      <c r="AD57" s="122"/>
      <c r="AE57" s="122"/>
      <c r="AF57" s="122"/>
      <c r="AG57" s="122"/>
      <c r="AH57" s="122"/>
      <c r="AI57" s="122"/>
      <c r="AJ57" s="122"/>
      <c r="AK57" s="122"/>
      <c r="AL57" s="122"/>
      <c r="AM57" s="122"/>
      <c r="AN57" s="122"/>
      <c r="AO57" s="122"/>
      <c r="AP57" s="122"/>
      <c r="AQ57" s="122"/>
      <c r="AR57" s="117"/>
      <c r="AS57" s="117"/>
      <c r="AT57" s="117"/>
      <c r="AU57" s="117"/>
      <c r="AV57" s="117"/>
      <c r="AW57" s="117"/>
      <c r="AX57" s="117"/>
      <c r="AY57" s="117"/>
      <c r="AZ57" s="117"/>
      <c r="BA57" s="117"/>
      <c r="BB57" s="117"/>
      <c r="BC57" s="117"/>
      <c r="BD57" s="117"/>
      <c r="BE57" s="117"/>
      <c r="BF57" s="117"/>
      <c r="BG57" s="117"/>
      <c r="BH57" s="117"/>
      <c r="BI57" s="117"/>
      <c r="BJ57" s="117"/>
      <c r="BK57" s="117"/>
      <c r="BL57" s="117"/>
      <c r="BM57" s="117"/>
      <c r="BN57" s="117"/>
      <c r="BO57" s="117"/>
      <c r="BP57" s="117"/>
      <c r="BQ57" s="117"/>
      <c r="BR57" s="117"/>
      <c r="BS57" s="117"/>
      <c r="BT57" s="117"/>
      <c r="BU57" s="117"/>
      <c r="BV57" s="117"/>
      <c r="BW57" s="117"/>
      <c r="BX57" s="117"/>
      <c r="BY57" s="117"/>
      <c r="BZ57" s="117"/>
      <c r="CA57" s="117"/>
      <c r="CB57" s="117"/>
      <c r="CC57" s="117"/>
      <c r="CD57" s="117"/>
      <c r="CE57" s="117"/>
      <c r="CF57" s="117"/>
      <c r="CG57" s="117"/>
      <c r="CH57" s="117"/>
      <c r="CI57" s="117"/>
      <c r="CJ57" s="117"/>
      <c r="CK57" s="117"/>
      <c r="CL57" s="117"/>
      <c r="CM57" s="117"/>
      <c r="CN57" s="117"/>
      <c r="CO57" s="117"/>
      <c r="CP57" s="117"/>
      <c r="CQ57" s="117"/>
      <c r="CR57" s="117"/>
      <c r="CS57" s="117"/>
      <c r="CT57" s="117"/>
      <c r="CU57" s="117"/>
      <c r="CV57" s="117"/>
      <c r="CW57" s="117"/>
      <c r="CX57" s="117"/>
      <c r="CY57" s="117"/>
      <c r="CZ57" s="117"/>
      <c r="DA57" s="117"/>
      <c r="DB57" s="117"/>
      <c r="DC57" s="117"/>
      <c r="DD57" s="117"/>
      <c r="DE57" s="117"/>
      <c r="DF57" s="117"/>
      <c r="DG57" s="117"/>
      <c r="DH57" s="117"/>
      <c r="DI57" s="117"/>
      <c r="DJ57" s="117"/>
      <c r="DK57" s="117"/>
      <c r="DL57" s="117"/>
      <c r="DM57" s="117"/>
    </row>
    <row r="58" spans="1:117" s="155" customFormat="1" x14ac:dyDescent="0.25">
      <c r="A58" s="117"/>
      <c r="B58" s="161"/>
      <c r="C58" s="162"/>
      <c r="D58" s="162"/>
      <c r="E58" s="173"/>
      <c r="F58" s="145"/>
      <c r="G58" s="166" t="s">
        <v>151</v>
      </c>
      <c r="H58" s="546">
        <f>'Staffels &amp; Tabellen'!$F$317</f>
        <v>0</v>
      </c>
      <c r="I58" s="165">
        <f>'Staffels &amp; Tabellen'!L305</f>
        <v>0.5</v>
      </c>
      <c r="J58" s="226">
        <f>Uurtarieven!$C$8</f>
        <v>126</v>
      </c>
      <c r="K58" s="380">
        <f t="shared" si="8"/>
        <v>1</v>
      </c>
      <c r="L58" s="167"/>
      <c r="M58" s="426">
        <f>IF(Vragenlijst!E55="Ja",K58*J58*I58*H58,0)</f>
        <v>0</v>
      </c>
      <c r="N58" s="428"/>
      <c r="O58" s="427">
        <f>IF(Vragenlijst!E55="Ja",H58*I58*K58,0)</f>
        <v>0</v>
      </c>
      <c r="P58" s="429"/>
      <c r="Q58" s="122"/>
      <c r="R58" s="122"/>
      <c r="S58" s="122"/>
      <c r="T58" s="122"/>
      <c r="U58" s="122"/>
      <c r="V58" s="122"/>
      <c r="W58" s="122"/>
      <c r="X58" s="122"/>
      <c r="Y58" s="122"/>
      <c r="Z58" s="122"/>
      <c r="AA58" s="122"/>
      <c r="AB58" s="122"/>
      <c r="AC58" s="122"/>
      <c r="AD58" s="122"/>
      <c r="AE58" s="122"/>
      <c r="AF58" s="122"/>
      <c r="AG58" s="122"/>
      <c r="AH58" s="122"/>
      <c r="AI58" s="122"/>
      <c r="AJ58" s="122"/>
      <c r="AK58" s="122"/>
      <c r="AL58" s="122"/>
      <c r="AM58" s="122"/>
      <c r="AN58" s="122"/>
      <c r="AO58" s="122"/>
      <c r="AP58" s="122"/>
      <c r="AQ58" s="122"/>
      <c r="AR58" s="117"/>
      <c r="AS58" s="117"/>
      <c r="AT58" s="117"/>
      <c r="AU58" s="117"/>
      <c r="AV58" s="117"/>
      <c r="AW58" s="117"/>
      <c r="AX58" s="117"/>
      <c r="AY58" s="117"/>
      <c r="AZ58" s="117"/>
      <c r="BA58" s="117"/>
      <c r="BB58" s="117"/>
      <c r="BC58" s="117"/>
      <c r="BD58" s="117"/>
      <c r="BE58" s="117"/>
      <c r="BF58" s="117"/>
      <c r="BG58" s="117"/>
      <c r="BH58" s="117"/>
      <c r="BI58" s="117"/>
      <c r="BJ58" s="117"/>
      <c r="BK58" s="117"/>
      <c r="BL58" s="117"/>
      <c r="BM58" s="117"/>
      <c r="BN58" s="117"/>
      <c r="BO58" s="117"/>
      <c r="BP58" s="117"/>
      <c r="BQ58" s="117"/>
      <c r="BR58" s="117"/>
      <c r="BS58" s="117"/>
      <c r="BT58" s="117"/>
      <c r="BU58" s="117"/>
      <c r="BV58" s="117"/>
      <c r="BW58" s="117"/>
      <c r="BX58" s="117"/>
      <c r="BY58" s="117"/>
      <c r="BZ58" s="117"/>
      <c r="CA58" s="117"/>
      <c r="CB58" s="117"/>
      <c r="CC58" s="117"/>
      <c r="CD58" s="117"/>
      <c r="CE58" s="117"/>
      <c r="CF58" s="117"/>
      <c r="CG58" s="117"/>
      <c r="CH58" s="117"/>
      <c r="CI58" s="117"/>
      <c r="CJ58" s="117"/>
      <c r="CK58" s="117"/>
      <c r="CL58" s="117"/>
      <c r="CM58" s="117"/>
      <c r="CN58" s="117"/>
      <c r="CO58" s="117"/>
      <c r="CP58" s="117"/>
      <c r="CQ58" s="117"/>
      <c r="CR58" s="117"/>
      <c r="CS58" s="117"/>
      <c r="CT58" s="117"/>
      <c r="CU58" s="117"/>
      <c r="CV58" s="117"/>
      <c r="CW58" s="117"/>
      <c r="CX58" s="117"/>
      <c r="CY58" s="117"/>
      <c r="CZ58" s="117"/>
      <c r="DA58" s="117"/>
      <c r="DB58" s="117"/>
      <c r="DC58" s="117"/>
      <c r="DD58" s="117"/>
      <c r="DE58" s="117"/>
      <c r="DF58" s="117"/>
      <c r="DG58" s="117"/>
      <c r="DH58" s="117"/>
      <c r="DI58" s="117"/>
      <c r="DJ58" s="117"/>
      <c r="DK58" s="117"/>
      <c r="DL58" s="117"/>
      <c r="DM58" s="117"/>
    </row>
    <row r="59" spans="1:117" s="155" customFormat="1" x14ac:dyDescent="0.25">
      <c r="A59" s="117"/>
      <c r="B59" s="161"/>
      <c r="C59" s="162"/>
      <c r="D59" s="162"/>
      <c r="E59" s="173"/>
      <c r="F59" s="145"/>
      <c r="G59" s="151"/>
      <c r="H59" s="548"/>
      <c r="I59" s="165"/>
      <c r="J59" s="224"/>
      <c r="K59" s="380"/>
      <c r="L59" s="167"/>
      <c r="M59" s="361"/>
      <c r="N59" s="362">
        <f>SUM(M52:M58)</f>
        <v>0</v>
      </c>
      <c r="O59" s="590"/>
      <c r="P59" s="365">
        <f>SUM(O52:O58)</f>
        <v>0</v>
      </c>
      <c r="Q59" s="122"/>
      <c r="R59" s="122"/>
      <c r="S59" s="122"/>
      <c r="T59" s="122"/>
      <c r="U59" s="122"/>
      <c r="V59" s="122"/>
      <c r="W59" s="122"/>
      <c r="X59" s="122"/>
      <c r="Y59" s="122"/>
      <c r="Z59" s="122"/>
      <c r="AA59" s="122"/>
      <c r="AB59" s="122"/>
      <c r="AC59" s="122"/>
      <c r="AD59" s="122"/>
      <c r="AE59" s="122"/>
      <c r="AF59" s="122"/>
      <c r="AG59" s="122"/>
      <c r="AH59" s="122"/>
      <c r="AI59" s="122"/>
      <c r="AJ59" s="122"/>
      <c r="AK59" s="122"/>
      <c r="AL59" s="122"/>
      <c r="AM59" s="122"/>
      <c r="AN59" s="122"/>
      <c r="AO59" s="122"/>
      <c r="AP59" s="122"/>
      <c r="AQ59" s="122"/>
      <c r="AR59" s="117"/>
      <c r="AS59" s="117"/>
      <c r="AT59" s="117"/>
      <c r="AU59" s="117"/>
      <c r="AV59" s="117"/>
      <c r="AW59" s="117"/>
      <c r="AX59" s="117"/>
      <c r="AY59" s="117"/>
      <c r="AZ59" s="117"/>
      <c r="BA59" s="117"/>
      <c r="BB59" s="117"/>
      <c r="BC59" s="117"/>
      <c r="BD59" s="117"/>
      <c r="BE59" s="117"/>
      <c r="BF59" s="117"/>
      <c r="BG59" s="117"/>
      <c r="BH59" s="117"/>
      <c r="BI59" s="117"/>
      <c r="BJ59" s="117"/>
      <c r="BK59" s="117"/>
      <c r="BL59" s="117"/>
      <c r="BM59" s="117"/>
      <c r="BN59" s="117"/>
      <c r="BO59" s="117"/>
      <c r="BP59" s="117"/>
      <c r="BQ59" s="117"/>
      <c r="BR59" s="117"/>
      <c r="BS59" s="117"/>
      <c r="BT59" s="117"/>
      <c r="BU59" s="117"/>
      <c r="BV59" s="117"/>
      <c r="BW59" s="117"/>
      <c r="BX59" s="117"/>
      <c r="BY59" s="117"/>
      <c r="BZ59" s="117"/>
      <c r="CA59" s="117"/>
      <c r="CB59" s="117"/>
      <c r="CC59" s="117"/>
      <c r="CD59" s="117"/>
      <c r="CE59" s="117"/>
      <c r="CF59" s="117"/>
      <c r="CG59" s="117"/>
      <c r="CH59" s="117"/>
      <c r="CI59" s="117"/>
      <c r="CJ59" s="117"/>
      <c r="CK59" s="117"/>
      <c r="CL59" s="117"/>
      <c r="CM59" s="117"/>
      <c r="CN59" s="117"/>
      <c r="CO59" s="117"/>
      <c r="CP59" s="117"/>
      <c r="CQ59" s="117"/>
      <c r="CR59" s="117"/>
      <c r="CS59" s="117"/>
      <c r="CT59" s="117"/>
      <c r="CU59" s="117"/>
      <c r="CV59" s="117"/>
      <c r="CW59" s="117"/>
      <c r="CX59" s="117"/>
      <c r="CY59" s="117"/>
      <c r="CZ59" s="117"/>
      <c r="DA59" s="117"/>
      <c r="DB59" s="117"/>
      <c r="DC59" s="117"/>
      <c r="DD59" s="117"/>
      <c r="DE59" s="117"/>
      <c r="DF59" s="117"/>
      <c r="DG59" s="117"/>
      <c r="DH59" s="117"/>
      <c r="DI59" s="117"/>
      <c r="DJ59" s="117"/>
      <c r="DK59" s="117"/>
      <c r="DL59" s="117"/>
      <c r="DM59" s="117"/>
    </row>
    <row r="60" spans="1:117" s="174" customFormat="1" ht="14.4" thickBot="1" x14ac:dyDescent="0.3">
      <c r="B60" s="156" t="s">
        <v>169</v>
      </c>
      <c r="C60" s="157" t="s">
        <v>72</v>
      </c>
      <c r="D60" s="157"/>
      <c r="E60" s="158"/>
      <c r="F60" s="175"/>
      <c r="G60" s="151"/>
      <c r="H60" s="548"/>
      <c r="I60" s="165"/>
      <c r="J60" s="226"/>
      <c r="K60" s="380"/>
      <c r="L60" s="167"/>
      <c r="M60" s="361"/>
      <c r="O60" s="591"/>
      <c r="P60" s="368"/>
      <c r="Q60" s="122"/>
      <c r="R60" s="122"/>
      <c r="S60" s="122"/>
      <c r="T60" s="122"/>
      <c r="U60" s="122"/>
      <c r="V60" s="122"/>
      <c r="W60" s="122"/>
      <c r="X60" s="122"/>
      <c r="Y60" s="122"/>
      <c r="Z60" s="122"/>
      <c r="AA60" s="122"/>
      <c r="AB60" s="122"/>
      <c r="AC60" s="122"/>
      <c r="AD60" s="122"/>
      <c r="AE60" s="122"/>
      <c r="AF60" s="122"/>
      <c r="AG60" s="122"/>
      <c r="AH60" s="122"/>
      <c r="AI60" s="122"/>
      <c r="AJ60" s="122"/>
      <c r="AK60" s="122"/>
      <c r="AL60" s="122"/>
      <c r="AM60" s="122"/>
      <c r="AN60" s="122"/>
      <c r="AO60" s="122"/>
      <c r="AP60" s="122"/>
      <c r="AQ60" s="122"/>
    </row>
    <row r="61" spans="1:117" s="174" customFormat="1" ht="14.4" thickBot="1" x14ac:dyDescent="0.3">
      <c r="B61" s="181"/>
      <c r="C61" s="565" t="s">
        <v>170</v>
      </c>
      <c r="D61" s="565"/>
      <c r="E61" s="163" t="s">
        <v>166</v>
      </c>
      <c r="F61" s="175"/>
      <c r="G61" s="166" t="s">
        <v>155</v>
      </c>
      <c r="H61" s="547">
        <f>Vragenlijst!E37</f>
        <v>0</v>
      </c>
      <c r="I61" s="381">
        <f>IF(Vragenlijst!E13='Drop Down '!B2,'Staffels &amp; Tabellen'!D133,'Staffels &amp; Tabellen'!J133)</f>
        <v>2</v>
      </c>
      <c r="J61" s="224">
        <f>Uurtarieven!$C$13</f>
        <v>160</v>
      </c>
      <c r="K61" s="380">
        <f>1+$D$11</f>
        <v>1</v>
      </c>
      <c r="L61" s="167"/>
      <c r="M61" s="361">
        <f>IF(Vragenlijst!E56="Ja",K61*J61*I61*H61,0)</f>
        <v>0</v>
      </c>
      <c r="N61" s="362"/>
      <c r="O61" s="590">
        <f>IF(Vragenlijst!E56="Ja",H61*I61*K61,0)</f>
        <v>0</v>
      </c>
      <c r="P61" s="368"/>
      <c r="Q61" s="122"/>
      <c r="R61" s="71" t="s">
        <v>149</v>
      </c>
      <c r="S61" s="122"/>
      <c r="T61" s="122"/>
      <c r="U61" s="122"/>
      <c r="V61" s="122"/>
      <c r="W61" s="122"/>
      <c r="X61" s="122"/>
      <c r="Y61" s="122"/>
      <c r="Z61" s="122"/>
      <c r="AA61" s="122"/>
      <c r="AB61" s="122"/>
      <c r="AC61" s="122"/>
      <c r="AD61" s="122"/>
      <c r="AE61" s="122"/>
      <c r="AF61" s="122"/>
      <c r="AG61" s="122"/>
      <c r="AH61" s="122"/>
      <c r="AI61" s="122"/>
      <c r="AJ61" s="122"/>
      <c r="AK61" s="122"/>
      <c r="AL61" s="122"/>
      <c r="AM61" s="122"/>
      <c r="AN61" s="122"/>
      <c r="AO61" s="122"/>
      <c r="AP61" s="122"/>
      <c r="AQ61" s="122"/>
    </row>
    <row r="62" spans="1:117" s="174" customFormat="1" x14ac:dyDescent="0.25">
      <c r="B62" s="181"/>
      <c r="C62" s="157"/>
      <c r="D62" s="157"/>
      <c r="E62" s="171" t="s">
        <v>167</v>
      </c>
      <c r="F62" s="175"/>
      <c r="G62" s="166" t="s">
        <v>155</v>
      </c>
      <c r="H62" s="547">
        <f>SUM(Vragenlijst!E38:E40)/100</f>
        <v>0</v>
      </c>
      <c r="I62" s="381">
        <v>0.25</v>
      </c>
      <c r="J62" s="224">
        <f>Uurtarieven!$C$13</f>
        <v>160</v>
      </c>
      <c r="K62" s="380">
        <f>1+$D$11</f>
        <v>1</v>
      </c>
      <c r="L62" s="167"/>
      <c r="M62" s="361">
        <f>IF(Vragenlijst!E56="Ja",K62*J62*I62*H62,0)</f>
        <v>0</v>
      </c>
      <c r="N62" s="362"/>
      <c r="O62" s="590">
        <f>IF(Vragenlijst!E56="Ja",H62*I62*K62,0)</f>
        <v>0</v>
      </c>
      <c r="P62" s="368"/>
      <c r="Q62" s="122"/>
      <c r="R62" s="122"/>
      <c r="S62" s="122"/>
      <c r="T62" s="122"/>
      <c r="U62" s="122"/>
      <c r="V62" s="122"/>
      <c r="W62" s="122"/>
      <c r="X62" s="122"/>
      <c r="Y62" s="122"/>
      <c r="Z62" s="122"/>
      <c r="AA62" s="122"/>
      <c r="AB62" s="122"/>
      <c r="AC62" s="122"/>
      <c r="AD62" s="122"/>
      <c r="AE62" s="122"/>
      <c r="AF62" s="122"/>
      <c r="AG62" s="122"/>
      <c r="AH62" s="122"/>
      <c r="AI62" s="122"/>
      <c r="AJ62" s="122"/>
      <c r="AK62" s="122"/>
      <c r="AL62" s="122"/>
      <c r="AM62" s="122"/>
      <c r="AN62" s="122"/>
      <c r="AO62" s="122"/>
      <c r="AP62" s="122"/>
      <c r="AQ62" s="122"/>
    </row>
    <row r="63" spans="1:117" s="155" customFormat="1" x14ac:dyDescent="0.25">
      <c r="A63" s="117"/>
      <c r="B63" s="161"/>
      <c r="C63" s="162"/>
      <c r="D63" s="162"/>
      <c r="E63" s="173"/>
      <c r="F63" s="145"/>
      <c r="G63" s="166" t="s">
        <v>150</v>
      </c>
      <c r="H63" s="546">
        <f>'Staffels &amp; Tabellen'!$G$317</f>
        <v>0</v>
      </c>
      <c r="I63" s="165">
        <f>'Staffels &amp; Tabellen'!M299</f>
        <v>2.5</v>
      </c>
      <c r="J63" s="224">
        <f>Uurtarieven!$C$11</f>
        <v>181</v>
      </c>
      <c r="K63" s="380">
        <f>1+$D$11</f>
        <v>1</v>
      </c>
      <c r="L63" s="167"/>
      <c r="M63" s="361">
        <f>IF(Vragenlijst!E56="Ja",K63*J63*I63*H63,0)</f>
        <v>0</v>
      </c>
      <c r="N63" s="362"/>
      <c r="O63" s="590">
        <f>IF(Vragenlijst!E56="Ja",H63*I63*K63,0)</f>
        <v>0</v>
      </c>
      <c r="P63" s="363"/>
      <c r="Q63" s="122"/>
      <c r="R63" s="122"/>
      <c r="S63" s="122"/>
      <c r="T63" s="122"/>
      <c r="U63" s="122"/>
      <c r="V63" s="122"/>
      <c r="W63" s="122"/>
      <c r="X63" s="122"/>
      <c r="Y63" s="122"/>
      <c r="Z63" s="122"/>
      <c r="AA63" s="122"/>
      <c r="AB63" s="122"/>
      <c r="AC63" s="122"/>
      <c r="AD63" s="122"/>
      <c r="AE63" s="122"/>
      <c r="AF63" s="122"/>
      <c r="AG63" s="122"/>
      <c r="AH63" s="122"/>
      <c r="AI63" s="122"/>
      <c r="AJ63" s="122"/>
      <c r="AK63" s="122"/>
      <c r="AL63" s="122"/>
      <c r="AM63" s="122"/>
      <c r="AN63" s="122"/>
      <c r="AO63" s="122"/>
      <c r="AP63" s="122"/>
      <c r="AQ63" s="122"/>
      <c r="AR63" s="117"/>
      <c r="AS63" s="117"/>
      <c r="AT63" s="117"/>
      <c r="AU63" s="117"/>
      <c r="AV63" s="117"/>
      <c r="AW63" s="117"/>
      <c r="AX63" s="117"/>
      <c r="AY63" s="117"/>
      <c r="AZ63" s="117"/>
      <c r="BA63" s="117"/>
      <c r="BB63" s="117"/>
      <c r="BC63" s="117"/>
      <c r="BD63" s="117"/>
      <c r="BE63" s="117"/>
      <c r="BF63" s="117"/>
      <c r="BG63" s="117"/>
      <c r="BH63" s="117"/>
      <c r="BI63" s="117"/>
      <c r="BJ63" s="117"/>
      <c r="BK63" s="117"/>
      <c r="BL63" s="117"/>
      <c r="BM63" s="117"/>
      <c r="BN63" s="117"/>
      <c r="BO63" s="117"/>
      <c r="BP63" s="117"/>
      <c r="BQ63" s="117"/>
      <c r="BR63" s="117"/>
      <c r="BS63" s="117"/>
      <c r="BT63" s="117"/>
      <c r="BU63" s="117"/>
      <c r="BV63" s="117"/>
      <c r="BW63" s="117"/>
      <c r="BX63" s="117"/>
      <c r="BY63" s="117"/>
      <c r="BZ63" s="117"/>
      <c r="CA63" s="117"/>
      <c r="CB63" s="117"/>
      <c r="CC63" s="117"/>
      <c r="CD63" s="117"/>
      <c r="CE63" s="117"/>
      <c r="CF63" s="117"/>
      <c r="CG63" s="117"/>
      <c r="CH63" s="117"/>
      <c r="CI63" s="117"/>
      <c r="CJ63" s="117"/>
      <c r="CK63" s="117"/>
      <c r="CL63" s="117"/>
      <c r="CM63" s="117"/>
      <c r="CN63" s="117"/>
      <c r="CO63" s="117"/>
      <c r="CP63" s="117"/>
      <c r="CQ63" s="117"/>
      <c r="CR63" s="117"/>
      <c r="CS63" s="117"/>
      <c r="CT63" s="117"/>
      <c r="CU63" s="117"/>
      <c r="CV63" s="117"/>
      <c r="CW63" s="117"/>
      <c r="CX63" s="117"/>
      <c r="CY63" s="117"/>
      <c r="CZ63" s="117"/>
      <c r="DA63" s="117"/>
      <c r="DB63" s="117"/>
      <c r="DC63" s="117"/>
      <c r="DD63" s="117"/>
      <c r="DE63" s="117"/>
      <c r="DF63" s="117"/>
      <c r="DG63" s="117"/>
      <c r="DH63" s="117"/>
      <c r="DI63" s="117"/>
      <c r="DJ63" s="117"/>
      <c r="DK63" s="117"/>
      <c r="DL63" s="117"/>
      <c r="DM63" s="117"/>
    </row>
    <row r="64" spans="1:117" s="155" customFormat="1" x14ac:dyDescent="0.25">
      <c r="A64" s="117"/>
      <c r="B64" s="161"/>
      <c r="C64" s="162"/>
      <c r="D64" s="162"/>
      <c r="E64" s="173"/>
      <c r="F64" s="145"/>
      <c r="G64" s="166" t="s">
        <v>156</v>
      </c>
      <c r="H64" s="546">
        <f>'Staffels &amp; Tabellen'!$G$317</f>
        <v>0</v>
      </c>
      <c r="I64" s="165">
        <f>'Staffels &amp; Tabellen'!M301</f>
        <v>0.75</v>
      </c>
      <c r="J64" s="224">
        <f>Uurtarieven!$C$10</f>
        <v>160</v>
      </c>
      <c r="K64" s="380">
        <f>1+$D$11</f>
        <v>1</v>
      </c>
      <c r="L64" s="167"/>
      <c r="M64" s="361">
        <f>IF(Vragenlijst!E56="Ja",K64*J64*I64*H64,0)</f>
        <v>0</v>
      </c>
      <c r="N64" s="362"/>
      <c r="O64" s="590">
        <f>IF(Vragenlijst!E56="Ja",H64*I64*K64,0)</f>
        <v>0</v>
      </c>
      <c r="P64" s="363"/>
      <c r="Q64" s="122"/>
      <c r="R64" s="122"/>
      <c r="S64" s="122"/>
      <c r="T64" s="122"/>
      <c r="U64" s="122"/>
      <c r="V64" s="122"/>
      <c r="W64" s="122"/>
      <c r="X64" s="122"/>
      <c r="Y64" s="122"/>
      <c r="Z64" s="122"/>
      <c r="AA64" s="122"/>
      <c r="AB64" s="122"/>
      <c r="AC64" s="122"/>
      <c r="AD64" s="122"/>
      <c r="AE64" s="122"/>
      <c r="AF64" s="122"/>
      <c r="AG64" s="122"/>
      <c r="AH64" s="122"/>
      <c r="AI64" s="122"/>
      <c r="AJ64" s="122"/>
      <c r="AK64" s="122"/>
      <c r="AL64" s="122"/>
      <c r="AM64" s="122"/>
      <c r="AN64" s="122"/>
      <c r="AO64" s="122"/>
      <c r="AP64" s="122"/>
      <c r="AQ64" s="122"/>
      <c r="AR64" s="117"/>
      <c r="AS64" s="117"/>
      <c r="AT64" s="117"/>
      <c r="AU64" s="117"/>
      <c r="AV64" s="117"/>
      <c r="AW64" s="117"/>
      <c r="AX64" s="117"/>
      <c r="AY64" s="117"/>
      <c r="AZ64" s="117"/>
      <c r="BA64" s="117"/>
      <c r="BB64" s="117"/>
      <c r="BC64" s="117"/>
      <c r="BD64" s="117"/>
      <c r="BE64" s="117"/>
      <c r="BF64" s="117"/>
      <c r="BG64" s="117"/>
      <c r="BH64" s="117"/>
      <c r="BI64" s="117"/>
      <c r="BJ64" s="117"/>
      <c r="BK64" s="117"/>
      <c r="BL64" s="117"/>
      <c r="BM64" s="117"/>
      <c r="BN64" s="117"/>
      <c r="BO64" s="117"/>
      <c r="BP64" s="117"/>
      <c r="BQ64" s="117"/>
      <c r="BR64" s="117"/>
      <c r="BS64" s="117"/>
      <c r="BT64" s="117"/>
      <c r="BU64" s="117"/>
      <c r="BV64" s="117"/>
      <c r="BW64" s="117"/>
      <c r="BX64" s="117"/>
      <c r="BY64" s="117"/>
      <c r="BZ64" s="117"/>
      <c r="CA64" s="117"/>
      <c r="CB64" s="117"/>
      <c r="CC64" s="117"/>
      <c r="CD64" s="117"/>
      <c r="CE64" s="117"/>
      <c r="CF64" s="117"/>
      <c r="CG64" s="117"/>
      <c r="CH64" s="117"/>
      <c r="CI64" s="117"/>
      <c r="CJ64" s="117"/>
      <c r="CK64" s="117"/>
      <c r="CL64" s="117"/>
      <c r="CM64" s="117"/>
      <c r="CN64" s="117"/>
      <c r="CO64" s="117"/>
      <c r="CP64" s="117"/>
      <c r="CQ64" s="117"/>
      <c r="CR64" s="117"/>
      <c r="CS64" s="117"/>
      <c r="CT64" s="117"/>
      <c r="CU64" s="117"/>
      <c r="CV64" s="117"/>
      <c r="CW64" s="117"/>
      <c r="CX64" s="117"/>
      <c r="CY64" s="117"/>
      <c r="CZ64" s="117"/>
      <c r="DA64" s="117"/>
      <c r="DB64" s="117"/>
      <c r="DC64" s="117"/>
      <c r="DD64" s="117"/>
      <c r="DE64" s="117"/>
      <c r="DF64" s="117"/>
      <c r="DG64" s="117"/>
      <c r="DH64" s="117"/>
      <c r="DI64" s="117"/>
      <c r="DJ64" s="117"/>
      <c r="DK64" s="117"/>
      <c r="DL64" s="117"/>
      <c r="DM64" s="117"/>
    </row>
    <row r="65" spans="1:211" s="155" customFormat="1" x14ac:dyDescent="0.25">
      <c r="A65" s="117"/>
      <c r="B65" s="161"/>
      <c r="C65" s="162"/>
      <c r="D65" s="162"/>
      <c r="E65" s="173"/>
      <c r="F65" s="145"/>
      <c r="G65" s="166" t="s">
        <v>151</v>
      </c>
      <c r="H65" s="546">
        <f>'Staffels &amp; Tabellen'!$G$317</f>
        <v>0</v>
      </c>
      <c r="I65" s="165">
        <f>'Staffels &amp; Tabellen'!M305</f>
        <v>0.1</v>
      </c>
      <c r="J65" s="226">
        <f>Uurtarieven!$C$8</f>
        <v>126</v>
      </c>
      <c r="K65" s="380">
        <f>1+$D$11</f>
        <v>1</v>
      </c>
      <c r="L65" s="167"/>
      <c r="M65" s="426">
        <f>IF(Vragenlijst!E56="Ja",K65*J65*I65*H65,0)</f>
        <v>0</v>
      </c>
      <c r="N65" s="428"/>
      <c r="O65" s="427">
        <f>IF(Vragenlijst!E56="Ja",H65*I65*K65,0)</f>
        <v>0</v>
      </c>
      <c r="P65" s="429"/>
      <c r="Q65" s="122"/>
      <c r="R65" s="122"/>
      <c r="S65" s="122"/>
      <c r="T65" s="122"/>
      <c r="U65" s="122"/>
      <c r="V65" s="122"/>
      <c r="W65" s="122"/>
      <c r="X65" s="122"/>
      <c r="Y65" s="122"/>
      <c r="Z65" s="122"/>
      <c r="AA65" s="122"/>
      <c r="AB65" s="122"/>
      <c r="AC65" s="122"/>
      <c r="AD65" s="122"/>
      <c r="AE65" s="122"/>
      <c r="AF65" s="122"/>
      <c r="AG65" s="122"/>
      <c r="AH65" s="122"/>
      <c r="AI65" s="122"/>
      <c r="AJ65" s="122"/>
      <c r="AK65" s="122"/>
      <c r="AL65" s="122"/>
      <c r="AM65" s="122"/>
      <c r="AN65" s="122"/>
      <c r="AO65" s="122"/>
      <c r="AP65" s="122"/>
      <c r="AQ65" s="122"/>
      <c r="AR65" s="117"/>
      <c r="AS65" s="117"/>
      <c r="AT65" s="117"/>
      <c r="AU65" s="117"/>
      <c r="AV65" s="117"/>
      <c r="AW65" s="117"/>
      <c r="AX65" s="117"/>
      <c r="AY65" s="117"/>
      <c r="AZ65" s="117"/>
      <c r="BA65" s="117"/>
      <c r="BB65" s="117"/>
      <c r="BC65" s="117"/>
      <c r="BD65" s="117"/>
      <c r="BE65" s="117"/>
      <c r="BF65" s="117"/>
      <c r="BG65" s="117"/>
      <c r="BH65" s="117"/>
      <c r="BI65" s="117"/>
      <c r="BJ65" s="117"/>
      <c r="BK65" s="117"/>
      <c r="BL65" s="117"/>
      <c r="BM65" s="117"/>
      <c r="BN65" s="117"/>
      <c r="BO65" s="117"/>
      <c r="BP65" s="117"/>
      <c r="BQ65" s="117"/>
      <c r="BR65" s="117"/>
      <c r="BS65" s="117"/>
      <c r="BT65" s="117"/>
      <c r="BU65" s="117"/>
      <c r="BV65" s="117"/>
      <c r="BW65" s="117"/>
      <c r="BX65" s="117"/>
      <c r="BY65" s="117"/>
      <c r="BZ65" s="117"/>
      <c r="CA65" s="117"/>
      <c r="CB65" s="117"/>
      <c r="CC65" s="117"/>
      <c r="CD65" s="117"/>
      <c r="CE65" s="117"/>
      <c r="CF65" s="117"/>
      <c r="CG65" s="117"/>
      <c r="CH65" s="117"/>
      <c r="CI65" s="117"/>
      <c r="CJ65" s="117"/>
      <c r="CK65" s="117"/>
      <c r="CL65" s="117"/>
      <c r="CM65" s="117"/>
      <c r="CN65" s="117"/>
      <c r="CO65" s="117"/>
      <c r="CP65" s="117"/>
      <c r="CQ65" s="117"/>
      <c r="CR65" s="117"/>
      <c r="CS65" s="117"/>
      <c r="CT65" s="117"/>
      <c r="CU65" s="117"/>
      <c r="CV65" s="117"/>
      <c r="CW65" s="117"/>
      <c r="CX65" s="117"/>
      <c r="CY65" s="117"/>
      <c r="CZ65" s="117"/>
      <c r="DA65" s="117"/>
      <c r="DB65" s="117"/>
      <c r="DC65" s="117"/>
      <c r="DD65" s="117"/>
      <c r="DE65" s="117"/>
      <c r="DF65" s="117"/>
      <c r="DG65" s="117"/>
      <c r="DH65" s="117"/>
      <c r="DI65" s="117"/>
      <c r="DJ65" s="117"/>
      <c r="DK65" s="117"/>
      <c r="DL65" s="117"/>
      <c r="DM65" s="117"/>
    </row>
    <row r="66" spans="1:211" s="155" customFormat="1" x14ac:dyDescent="0.25">
      <c r="A66" s="117"/>
      <c r="B66" s="161"/>
      <c r="C66" s="162"/>
      <c r="D66" s="162"/>
      <c r="E66" s="173"/>
      <c r="F66" s="145"/>
      <c r="G66" s="166"/>
      <c r="H66" s="82"/>
      <c r="I66" s="165"/>
      <c r="J66" s="226"/>
      <c r="K66" s="380"/>
      <c r="L66" s="167"/>
      <c r="M66" s="361"/>
      <c r="N66" s="362">
        <f>SUM(M61:M65)</f>
        <v>0</v>
      </c>
      <c r="O66" s="590"/>
      <c r="P66" s="365">
        <f>SUM(O61:O65)</f>
        <v>0</v>
      </c>
      <c r="Q66" s="122"/>
      <c r="R66" s="122"/>
      <c r="S66" s="122"/>
      <c r="T66" s="122"/>
      <c r="U66" s="122"/>
      <c r="V66" s="122"/>
      <c r="W66" s="122"/>
      <c r="X66" s="122"/>
      <c r="Y66" s="122"/>
      <c r="Z66" s="122"/>
      <c r="AA66" s="122"/>
      <c r="AB66" s="122"/>
      <c r="AC66" s="122"/>
      <c r="AD66" s="122"/>
      <c r="AE66" s="122"/>
      <c r="AF66" s="122"/>
      <c r="AG66" s="122"/>
      <c r="AH66" s="122"/>
      <c r="AI66" s="122"/>
      <c r="AJ66" s="122"/>
      <c r="AK66" s="122"/>
      <c r="AL66" s="122"/>
      <c r="AM66" s="122"/>
      <c r="AN66" s="122"/>
      <c r="AO66" s="122"/>
      <c r="AP66" s="122"/>
      <c r="AQ66" s="122"/>
      <c r="AR66" s="117"/>
      <c r="AS66" s="117"/>
      <c r="AT66" s="117"/>
      <c r="AU66" s="117"/>
      <c r="AV66" s="117"/>
      <c r="AW66" s="117"/>
      <c r="AX66" s="117"/>
      <c r="AY66" s="117"/>
      <c r="AZ66" s="117"/>
      <c r="BA66" s="117"/>
      <c r="BB66" s="117"/>
      <c r="BC66" s="117"/>
      <c r="BD66" s="117"/>
      <c r="BE66" s="117"/>
      <c r="BF66" s="117"/>
      <c r="BG66" s="117"/>
      <c r="BH66" s="117"/>
      <c r="BI66" s="117"/>
      <c r="BJ66" s="117"/>
      <c r="BK66" s="117"/>
      <c r="BL66" s="117"/>
      <c r="BM66" s="117"/>
      <c r="BN66" s="117"/>
      <c r="BO66" s="117"/>
      <c r="BP66" s="117"/>
      <c r="BQ66" s="117"/>
      <c r="BR66" s="117"/>
      <c r="BS66" s="117"/>
      <c r="BT66" s="117"/>
      <c r="BU66" s="117"/>
      <c r="BV66" s="117"/>
      <c r="BW66" s="117"/>
      <c r="BX66" s="117"/>
      <c r="BY66" s="117"/>
      <c r="BZ66" s="117"/>
      <c r="CA66" s="117"/>
      <c r="CB66" s="117"/>
      <c r="CC66" s="117"/>
      <c r="CD66" s="117"/>
      <c r="CE66" s="117"/>
      <c r="CF66" s="117"/>
      <c r="CG66" s="117"/>
      <c r="CH66" s="117"/>
      <c r="CI66" s="117"/>
      <c r="CJ66" s="117"/>
      <c r="CK66" s="117"/>
      <c r="CL66" s="117"/>
      <c r="CM66" s="117"/>
      <c r="CN66" s="117"/>
      <c r="CO66" s="117"/>
      <c r="CP66" s="117"/>
      <c r="CQ66" s="117"/>
      <c r="CR66" s="117"/>
      <c r="CS66" s="117"/>
      <c r="CT66" s="117"/>
      <c r="CU66" s="117"/>
      <c r="CV66" s="117"/>
      <c r="CW66" s="117"/>
      <c r="CX66" s="117"/>
      <c r="CY66" s="117"/>
      <c r="CZ66" s="117"/>
      <c r="DA66" s="117"/>
      <c r="DB66" s="117"/>
      <c r="DC66" s="117"/>
      <c r="DD66" s="117"/>
      <c r="DE66" s="117"/>
      <c r="DF66" s="117"/>
      <c r="DG66" s="117"/>
      <c r="DH66" s="117"/>
      <c r="DI66" s="117"/>
      <c r="DJ66" s="117"/>
      <c r="DK66" s="117"/>
      <c r="DL66" s="117"/>
      <c r="DM66" s="117"/>
    </row>
    <row r="67" spans="1:211" s="155" customFormat="1" ht="5.0999999999999996" customHeight="1" thickBot="1" x14ac:dyDescent="0.3">
      <c r="A67" s="117"/>
      <c r="B67" s="161"/>
      <c r="C67" s="162"/>
      <c r="D67" s="162"/>
      <c r="E67" s="173"/>
      <c r="F67" s="145"/>
      <c r="G67" s="166"/>
      <c r="H67" s="82"/>
      <c r="I67" s="168"/>
      <c r="J67" s="226"/>
      <c r="K67" s="380"/>
      <c r="L67" s="167"/>
      <c r="M67" s="361"/>
      <c r="N67" s="362"/>
      <c r="O67" s="592"/>
      <c r="P67" s="363"/>
      <c r="Q67" s="122"/>
      <c r="R67" s="122"/>
      <c r="S67" s="122"/>
      <c r="T67" s="122"/>
      <c r="U67" s="122"/>
      <c r="V67" s="122"/>
      <c r="W67" s="122"/>
      <c r="X67" s="122"/>
      <c r="Y67" s="122"/>
      <c r="Z67" s="122"/>
      <c r="AA67" s="122"/>
      <c r="AB67" s="122"/>
      <c r="AC67" s="122"/>
      <c r="AD67" s="122"/>
      <c r="AE67" s="122"/>
      <c r="AF67" s="122"/>
      <c r="AG67" s="122"/>
      <c r="AH67" s="122"/>
      <c r="AI67" s="122"/>
      <c r="AJ67" s="122"/>
      <c r="AK67" s="122"/>
      <c r="AL67" s="122"/>
      <c r="AM67" s="122"/>
      <c r="AN67" s="122"/>
      <c r="AO67" s="122"/>
      <c r="AP67" s="122"/>
      <c r="AQ67" s="122"/>
      <c r="AR67" s="117"/>
      <c r="AS67" s="117"/>
      <c r="AT67" s="117"/>
      <c r="AU67" s="117"/>
      <c r="AV67" s="117"/>
      <c r="AW67" s="117"/>
      <c r="AX67" s="117"/>
      <c r="AY67" s="117"/>
      <c r="AZ67" s="117"/>
      <c r="BA67" s="117"/>
      <c r="BB67" s="117"/>
      <c r="BC67" s="117"/>
      <c r="BD67" s="117"/>
      <c r="BE67" s="117"/>
      <c r="BF67" s="117"/>
      <c r="BG67" s="117"/>
      <c r="BH67" s="117"/>
      <c r="BI67" s="117"/>
      <c r="BJ67" s="117"/>
      <c r="BK67" s="117"/>
      <c r="BL67" s="117"/>
      <c r="BM67" s="117"/>
      <c r="BN67" s="117"/>
      <c r="BO67" s="117"/>
      <c r="BP67" s="117"/>
      <c r="BQ67" s="117"/>
      <c r="BR67" s="117"/>
      <c r="BS67" s="117"/>
      <c r="BT67" s="117"/>
      <c r="BU67" s="117"/>
      <c r="BV67" s="117"/>
      <c r="BW67" s="117"/>
      <c r="BX67" s="117"/>
      <c r="BY67" s="117"/>
      <c r="BZ67" s="117"/>
      <c r="CA67" s="117"/>
      <c r="CB67" s="117"/>
      <c r="CC67" s="117"/>
      <c r="CD67" s="117"/>
      <c r="CE67" s="117"/>
      <c r="CF67" s="117"/>
      <c r="CG67" s="117"/>
      <c r="CH67" s="117"/>
      <c r="CI67" s="117"/>
      <c r="CJ67" s="117"/>
      <c r="CK67" s="117"/>
      <c r="CL67" s="117"/>
      <c r="CM67" s="117"/>
      <c r="CN67" s="117"/>
      <c r="CO67" s="117"/>
      <c r="CP67" s="117"/>
      <c r="CQ67" s="117"/>
      <c r="CR67" s="117"/>
      <c r="CS67" s="117"/>
      <c r="CT67" s="117"/>
      <c r="CU67" s="117"/>
      <c r="CV67" s="117"/>
      <c r="CW67" s="117"/>
      <c r="CX67" s="117"/>
      <c r="CY67" s="117"/>
      <c r="CZ67" s="117"/>
      <c r="DA67" s="117"/>
      <c r="DB67" s="117"/>
      <c r="DC67" s="117"/>
      <c r="DD67" s="117"/>
      <c r="DE67" s="117"/>
      <c r="DF67" s="117"/>
      <c r="DG67" s="117"/>
      <c r="DH67" s="117"/>
      <c r="DI67" s="117"/>
      <c r="DJ67" s="117"/>
      <c r="DK67" s="117"/>
      <c r="DL67" s="117"/>
      <c r="DM67" s="117"/>
    </row>
    <row r="68" spans="1:211" s="183" customFormat="1" ht="5.0999999999999996" customHeight="1" thickBot="1" x14ac:dyDescent="0.3">
      <c r="A68" s="117"/>
      <c r="B68" s="263"/>
      <c r="C68" s="264"/>
      <c r="D68" s="264"/>
      <c r="E68" s="264"/>
      <c r="F68" s="264"/>
      <c r="G68" s="264"/>
      <c r="H68" s="264"/>
      <c r="I68" s="264"/>
      <c r="J68" s="264"/>
      <c r="K68" s="264"/>
      <c r="L68" s="264"/>
      <c r="M68" s="264"/>
      <c r="N68" s="264"/>
      <c r="O68" s="264"/>
      <c r="P68" s="265"/>
      <c r="Q68" s="122"/>
      <c r="R68" s="122"/>
      <c r="S68" s="122"/>
      <c r="T68" s="122"/>
      <c r="U68" s="122"/>
      <c r="V68" s="122"/>
      <c r="W68" s="122"/>
      <c r="X68" s="122"/>
      <c r="Y68" s="122"/>
      <c r="Z68" s="122"/>
      <c r="AA68" s="122"/>
      <c r="AB68" s="122"/>
      <c r="AC68" s="122"/>
      <c r="AD68" s="122"/>
      <c r="AE68" s="122"/>
      <c r="AF68" s="122"/>
      <c r="AG68" s="122"/>
      <c r="AH68" s="122"/>
      <c r="AI68" s="122"/>
      <c r="AJ68" s="122"/>
      <c r="AK68" s="122"/>
      <c r="AL68" s="122"/>
      <c r="AM68" s="122"/>
      <c r="AN68" s="122"/>
      <c r="AO68" s="122"/>
      <c r="AP68" s="122"/>
      <c r="AQ68" s="122"/>
      <c r="AR68" s="115"/>
      <c r="AS68" s="115"/>
      <c r="AT68" s="115"/>
      <c r="AU68" s="115"/>
      <c r="AV68" s="115"/>
      <c r="AW68" s="115"/>
      <c r="AX68" s="115"/>
      <c r="AY68" s="115"/>
      <c r="AZ68" s="115"/>
      <c r="BA68" s="115"/>
      <c r="BB68" s="115"/>
      <c r="BC68" s="115"/>
      <c r="BD68" s="115"/>
      <c r="BE68" s="115"/>
      <c r="BF68" s="115"/>
      <c r="BG68" s="115"/>
      <c r="BH68" s="115"/>
      <c r="BI68" s="115"/>
      <c r="BJ68" s="115"/>
      <c r="BK68" s="115"/>
      <c r="BL68" s="115"/>
      <c r="BM68" s="115"/>
      <c r="BN68" s="115"/>
      <c r="BO68" s="115"/>
      <c r="BP68" s="115"/>
      <c r="BQ68" s="115"/>
      <c r="BR68" s="115"/>
      <c r="BS68" s="115"/>
      <c r="BT68" s="115"/>
      <c r="BU68" s="115"/>
      <c r="BV68" s="115"/>
      <c r="BW68" s="115"/>
      <c r="BX68" s="115"/>
      <c r="BY68" s="115"/>
      <c r="BZ68" s="115"/>
      <c r="CA68" s="115"/>
      <c r="CB68" s="115"/>
      <c r="CC68" s="115"/>
      <c r="CD68" s="115"/>
      <c r="CE68" s="115"/>
      <c r="CF68" s="115"/>
      <c r="CG68" s="115"/>
      <c r="CH68" s="115"/>
      <c r="CI68" s="115"/>
      <c r="CJ68" s="115"/>
      <c r="CK68" s="115"/>
      <c r="CL68" s="115"/>
      <c r="CM68" s="115"/>
      <c r="CN68" s="115"/>
      <c r="CO68" s="115"/>
      <c r="CP68" s="115"/>
      <c r="CQ68" s="115"/>
      <c r="CR68" s="115"/>
      <c r="CS68" s="115"/>
      <c r="CT68" s="115"/>
      <c r="CU68" s="115"/>
      <c r="CV68" s="115"/>
      <c r="CW68" s="115"/>
      <c r="CX68" s="115"/>
      <c r="CY68" s="115"/>
      <c r="CZ68" s="182"/>
      <c r="DA68" s="182"/>
      <c r="DB68" s="182"/>
      <c r="DC68" s="182"/>
      <c r="DD68" s="182"/>
      <c r="DE68" s="182"/>
      <c r="DF68" s="182"/>
      <c r="DG68" s="182"/>
      <c r="DH68" s="182"/>
      <c r="DI68" s="182"/>
      <c r="DJ68" s="182"/>
      <c r="DK68" s="182"/>
      <c r="DL68" s="182"/>
      <c r="DM68" s="182"/>
      <c r="DN68" s="182"/>
      <c r="DO68" s="182"/>
      <c r="DP68" s="182"/>
      <c r="DQ68" s="182"/>
      <c r="DR68" s="182"/>
      <c r="DS68" s="182"/>
      <c r="DT68" s="182"/>
      <c r="DU68" s="182"/>
      <c r="DV68" s="182"/>
      <c r="DW68" s="182"/>
      <c r="DX68" s="182"/>
      <c r="DY68" s="182"/>
      <c r="DZ68" s="182"/>
      <c r="EA68" s="182"/>
      <c r="EB68" s="182"/>
      <c r="EC68" s="182"/>
      <c r="ED68" s="182"/>
      <c r="EE68" s="182"/>
      <c r="EF68" s="182"/>
      <c r="EG68" s="182"/>
      <c r="EH68" s="182"/>
      <c r="EI68" s="182"/>
      <c r="EJ68" s="182"/>
      <c r="EK68" s="182"/>
      <c r="EL68" s="182"/>
      <c r="EM68" s="182"/>
      <c r="EN68" s="182"/>
      <c r="EO68" s="182"/>
      <c r="EP68" s="182"/>
      <c r="EQ68" s="182"/>
      <c r="ER68" s="182"/>
      <c r="ES68" s="182"/>
      <c r="ET68" s="182"/>
      <c r="EU68" s="182"/>
      <c r="EV68" s="182"/>
      <c r="EW68" s="182"/>
      <c r="EX68" s="182"/>
      <c r="EY68" s="182"/>
      <c r="EZ68" s="182"/>
      <c r="FA68" s="182"/>
      <c r="FB68" s="182"/>
      <c r="FC68" s="182"/>
      <c r="FD68" s="182"/>
      <c r="FE68" s="182"/>
      <c r="FF68" s="182"/>
      <c r="FG68" s="182"/>
      <c r="FH68" s="182"/>
      <c r="FI68" s="182"/>
      <c r="FJ68" s="182"/>
      <c r="FK68" s="182"/>
      <c r="FL68" s="182"/>
      <c r="FM68" s="182"/>
      <c r="FN68" s="182"/>
      <c r="FO68" s="182"/>
      <c r="FP68" s="182"/>
      <c r="FQ68" s="182"/>
      <c r="FR68" s="182"/>
      <c r="FS68" s="182"/>
      <c r="FT68" s="182"/>
      <c r="FU68" s="182"/>
      <c r="FV68" s="182"/>
      <c r="FW68" s="182"/>
      <c r="FX68" s="182"/>
      <c r="FY68" s="182"/>
      <c r="FZ68" s="182"/>
      <c r="GA68" s="182"/>
      <c r="GB68" s="182"/>
      <c r="GC68" s="182"/>
      <c r="GD68" s="182"/>
      <c r="GE68" s="182"/>
      <c r="GF68" s="182"/>
      <c r="GG68" s="182"/>
      <c r="GH68" s="182"/>
      <c r="GI68" s="182"/>
      <c r="GJ68" s="182"/>
      <c r="GK68" s="182"/>
      <c r="GL68" s="182"/>
      <c r="GM68" s="182"/>
      <c r="GN68" s="182"/>
      <c r="GO68" s="182"/>
      <c r="GP68" s="182"/>
      <c r="GQ68" s="182"/>
      <c r="GR68" s="182"/>
      <c r="GS68" s="182"/>
      <c r="GT68" s="182"/>
      <c r="GU68" s="182"/>
      <c r="GV68" s="182"/>
      <c r="GW68" s="182"/>
      <c r="GX68" s="182"/>
      <c r="GY68" s="182"/>
      <c r="GZ68" s="182"/>
      <c r="HA68" s="182"/>
      <c r="HB68" s="182"/>
      <c r="HC68" s="182"/>
    </row>
    <row r="69" spans="1:211" s="180" customFormat="1" ht="5.0999999999999996" customHeight="1" x14ac:dyDescent="0.25">
      <c r="A69" s="117"/>
      <c r="B69" s="184"/>
      <c r="C69" s="383"/>
      <c r="D69" s="383"/>
      <c r="E69" s="384"/>
      <c r="F69" s="175"/>
      <c r="G69" s="385"/>
      <c r="H69" s="386"/>
      <c r="I69" s="387"/>
      <c r="J69" s="388"/>
      <c r="K69" s="389"/>
      <c r="L69" s="390"/>
      <c r="M69" s="362"/>
      <c r="N69" s="369"/>
      <c r="O69" s="391"/>
      <c r="P69" s="392"/>
      <c r="Q69" s="122"/>
      <c r="R69" s="122"/>
      <c r="S69" s="122"/>
      <c r="T69" s="122"/>
      <c r="U69" s="122"/>
      <c r="V69" s="122"/>
      <c r="W69" s="122"/>
      <c r="X69" s="122"/>
      <c r="Y69" s="122"/>
      <c r="Z69" s="122"/>
      <c r="AA69" s="122"/>
      <c r="AB69" s="122"/>
      <c r="AC69" s="122"/>
      <c r="AD69" s="122"/>
      <c r="AE69" s="122"/>
      <c r="AF69" s="122"/>
      <c r="AG69" s="122"/>
      <c r="AH69" s="122"/>
      <c r="AI69" s="122"/>
      <c r="AJ69" s="122"/>
      <c r="AK69" s="122"/>
      <c r="AL69" s="122"/>
      <c r="AM69" s="122"/>
      <c r="AN69" s="122"/>
      <c r="AO69" s="122"/>
      <c r="AP69" s="122"/>
      <c r="AQ69" s="122"/>
    </row>
    <row r="70" spans="1:211" s="155" customFormat="1" ht="16.350000000000001" customHeight="1" x14ac:dyDescent="0.3">
      <c r="A70" s="117"/>
      <c r="B70" s="185">
        <v>2</v>
      </c>
      <c r="C70" s="715" t="s">
        <v>171</v>
      </c>
      <c r="D70" s="715"/>
      <c r="E70" s="716"/>
      <c r="F70" s="186"/>
      <c r="G70" s="151"/>
      <c r="H70" s="109"/>
      <c r="I70" s="152"/>
      <c r="J70" s="222"/>
      <c r="K70" s="380"/>
      <c r="L70" s="145"/>
      <c r="M70" s="370"/>
      <c r="N70" s="371">
        <f>SUM(N73:N139)</f>
        <v>0</v>
      </c>
      <c r="O70" s="593"/>
      <c r="P70" s="360">
        <f>SUM(P73:P139)</f>
        <v>0</v>
      </c>
      <c r="Q70" s="122"/>
      <c r="R70" s="122"/>
      <c r="S70" s="122"/>
      <c r="T70" s="122"/>
      <c r="U70" s="122"/>
      <c r="V70" s="122"/>
      <c r="W70" s="122"/>
      <c r="X70" s="122"/>
      <c r="Y70" s="122"/>
      <c r="Z70" s="122"/>
      <c r="AA70" s="122"/>
      <c r="AB70" s="122"/>
      <c r="AC70" s="122"/>
      <c r="AD70" s="122"/>
      <c r="AE70" s="122"/>
      <c r="AF70" s="122"/>
      <c r="AG70" s="122"/>
      <c r="AH70" s="122"/>
      <c r="AI70" s="122"/>
      <c r="AJ70" s="122"/>
      <c r="AK70" s="122"/>
      <c r="AL70" s="122"/>
      <c r="AM70" s="122"/>
      <c r="AN70" s="122"/>
      <c r="AO70" s="122"/>
      <c r="AP70" s="122"/>
      <c r="AQ70" s="122"/>
      <c r="AR70" s="117"/>
      <c r="AS70" s="117"/>
      <c r="AT70" s="117"/>
      <c r="AU70" s="117"/>
      <c r="AV70" s="117"/>
      <c r="AW70" s="117"/>
      <c r="AX70" s="117"/>
      <c r="AY70" s="117"/>
      <c r="AZ70" s="117"/>
      <c r="BA70" s="117"/>
      <c r="BB70" s="117"/>
      <c r="BC70" s="117"/>
      <c r="BD70" s="117"/>
      <c r="BE70" s="117"/>
      <c r="BF70" s="117"/>
      <c r="BG70" s="117"/>
      <c r="BH70" s="117"/>
      <c r="BI70" s="117"/>
      <c r="BJ70" s="117"/>
      <c r="BK70" s="117"/>
      <c r="BL70" s="117"/>
      <c r="BM70" s="117"/>
      <c r="BN70" s="117"/>
      <c r="BO70" s="117"/>
      <c r="BP70" s="117"/>
      <c r="BQ70" s="117"/>
      <c r="BR70" s="117"/>
      <c r="BS70" s="117"/>
      <c r="BT70" s="117"/>
      <c r="BU70" s="117"/>
      <c r="BV70" s="117"/>
      <c r="BW70" s="117"/>
      <c r="BX70" s="117"/>
      <c r="BY70" s="117"/>
      <c r="BZ70" s="117"/>
      <c r="CA70" s="117"/>
      <c r="CB70" s="117"/>
      <c r="CC70" s="117"/>
      <c r="CD70" s="117"/>
      <c r="CE70" s="117"/>
      <c r="CF70" s="117"/>
      <c r="CG70" s="117"/>
      <c r="CH70" s="117"/>
      <c r="CI70" s="117"/>
      <c r="CJ70" s="117"/>
      <c r="CK70" s="117"/>
      <c r="CL70" s="117"/>
      <c r="CM70" s="117"/>
      <c r="CN70" s="117"/>
      <c r="CO70" s="117"/>
      <c r="CP70" s="117"/>
      <c r="CQ70" s="117"/>
      <c r="CR70" s="117"/>
      <c r="CS70" s="117"/>
      <c r="CT70" s="117"/>
      <c r="CU70" s="117"/>
      <c r="CV70" s="117"/>
      <c r="CW70" s="117"/>
      <c r="CX70" s="117"/>
      <c r="CY70" s="117"/>
      <c r="CZ70" s="117"/>
      <c r="DA70" s="117"/>
      <c r="DB70" s="117"/>
      <c r="DC70" s="117"/>
      <c r="DD70" s="117"/>
      <c r="DE70" s="117"/>
      <c r="DF70" s="117"/>
      <c r="DG70" s="117"/>
      <c r="DH70" s="117"/>
      <c r="DI70" s="117"/>
      <c r="DJ70" s="117"/>
      <c r="DK70" s="117"/>
      <c r="DL70" s="117"/>
      <c r="DM70" s="117"/>
    </row>
    <row r="71" spans="1:211" s="155" customFormat="1" ht="13.35" customHeight="1" x14ac:dyDescent="0.25">
      <c r="A71" s="117"/>
      <c r="B71" s="161"/>
      <c r="C71" s="162"/>
      <c r="D71" s="162"/>
      <c r="E71" s="187"/>
      <c r="F71" s="145"/>
      <c r="G71" s="151"/>
      <c r="H71" s="109"/>
      <c r="I71" s="152"/>
      <c r="J71" s="222"/>
      <c r="K71" s="380"/>
      <c r="L71" s="145"/>
      <c r="M71" s="358"/>
      <c r="N71" s="359"/>
      <c r="O71" s="589"/>
      <c r="P71" s="360"/>
      <c r="Q71" s="122"/>
      <c r="R71" s="122"/>
      <c r="S71" s="122"/>
      <c r="T71" s="122"/>
      <c r="U71" s="122"/>
      <c r="V71" s="122"/>
      <c r="W71" s="122"/>
      <c r="X71" s="122"/>
      <c r="Y71" s="122"/>
      <c r="Z71" s="122"/>
      <c r="AA71" s="122"/>
      <c r="AB71" s="122"/>
      <c r="AC71" s="122"/>
      <c r="AD71" s="122"/>
      <c r="AE71" s="122"/>
      <c r="AF71" s="122"/>
      <c r="AG71" s="122"/>
      <c r="AH71" s="122"/>
      <c r="AI71" s="122"/>
      <c r="AJ71" s="122"/>
      <c r="AK71" s="122"/>
      <c r="AL71" s="122"/>
      <c r="AM71" s="122"/>
      <c r="AN71" s="122"/>
      <c r="AO71" s="122"/>
      <c r="AP71" s="122"/>
      <c r="AQ71" s="122"/>
      <c r="AR71" s="117"/>
      <c r="AS71" s="117"/>
      <c r="AT71" s="117"/>
      <c r="AU71" s="117"/>
      <c r="AV71" s="117"/>
      <c r="AW71" s="117"/>
      <c r="AX71" s="117"/>
      <c r="AY71" s="117"/>
      <c r="AZ71" s="117"/>
      <c r="BA71" s="117"/>
      <c r="BB71" s="117"/>
      <c r="BC71" s="117"/>
      <c r="BD71" s="117"/>
      <c r="BE71" s="117"/>
      <c r="BF71" s="117"/>
      <c r="BG71" s="117"/>
      <c r="BH71" s="117"/>
      <c r="BI71" s="117"/>
      <c r="BJ71" s="117"/>
      <c r="BK71" s="117"/>
      <c r="BL71" s="117"/>
      <c r="BM71" s="117"/>
      <c r="BN71" s="117"/>
      <c r="BO71" s="117"/>
      <c r="BP71" s="117"/>
      <c r="BQ71" s="117"/>
      <c r="BR71" s="117"/>
      <c r="BS71" s="117"/>
      <c r="BT71" s="117"/>
      <c r="BU71" s="117"/>
      <c r="BV71" s="117"/>
      <c r="BW71" s="117"/>
      <c r="BX71" s="117"/>
      <c r="BY71" s="117"/>
      <c r="BZ71" s="117"/>
      <c r="CA71" s="117"/>
      <c r="CB71" s="117"/>
      <c r="CC71" s="117"/>
      <c r="CD71" s="117"/>
      <c r="CE71" s="117"/>
      <c r="CF71" s="117"/>
      <c r="CG71" s="117"/>
      <c r="CH71" s="117"/>
      <c r="CI71" s="117"/>
      <c r="CJ71" s="117"/>
      <c r="CK71" s="117"/>
      <c r="CL71" s="117"/>
      <c r="CM71" s="117"/>
      <c r="CN71" s="117"/>
      <c r="CO71" s="117"/>
      <c r="CP71" s="117"/>
      <c r="CQ71" s="117"/>
      <c r="CR71" s="117"/>
      <c r="CS71" s="117"/>
      <c r="CT71" s="117"/>
      <c r="CU71" s="117"/>
      <c r="CV71" s="117"/>
      <c r="CW71" s="117"/>
      <c r="CX71" s="117"/>
      <c r="CY71" s="117"/>
      <c r="CZ71" s="117"/>
      <c r="DA71" s="117"/>
      <c r="DB71" s="117"/>
      <c r="DC71" s="117"/>
      <c r="DD71" s="117"/>
      <c r="DE71" s="117"/>
      <c r="DF71" s="117"/>
      <c r="DG71" s="117"/>
      <c r="DH71" s="117"/>
      <c r="DI71" s="117"/>
      <c r="DJ71" s="117"/>
      <c r="DK71" s="117"/>
      <c r="DL71" s="117"/>
      <c r="DM71" s="117"/>
    </row>
    <row r="72" spans="1:211" s="155" customFormat="1" ht="13.35" customHeight="1" x14ac:dyDescent="0.25">
      <c r="A72" s="117"/>
      <c r="B72" s="156" t="s">
        <v>172</v>
      </c>
      <c r="C72" s="157" t="s">
        <v>173</v>
      </c>
      <c r="D72" s="157"/>
      <c r="E72" s="158" t="s">
        <v>80</v>
      </c>
      <c r="F72" s="145"/>
      <c r="G72" s="151"/>
      <c r="H72" s="109"/>
      <c r="I72" s="152"/>
      <c r="J72" s="222"/>
      <c r="K72" s="380"/>
      <c r="L72" s="145"/>
      <c r="M72" s="358"/>
      <c r="O72" s="589"/>
      <c r="P72" s="360"/>
      <c r="Q72" s="122"/>
      <c r="R72" s="122"/>
      <c r="S72" s="122"/>
      <c r="T72" s="122"/>
      <c r="U72" s="122"/>
      <c r="V72" s="122"/>
      <c r="W72" s="122"/>
      <c r="X72" s="122"/>
      <c r="Y72" s="122"/>
      <c r="Z72" s="122"/>
      <c r="AA72" s="122"/>
      <c r="AB72" s="122"/>
      <c r="AC72" s="122"/>
      <c r="AD72" s="122"/>
      <c r="AE72" s="122"/>
      <c r="AF72" s="122"/>
      <c r="AG72" s="122"/>
      <c r="AH72" s="122"/>
      <c r="AI72" s="122"/>
      <c r="AJ72" s="122"/>
      <c r="AK72" s="122"/>
      <c r="AL72" s="122"/>
      <c r="AM72" s="122"/>
      <c r="AN72" s="122"/>
      <c r="AO72" s="122"/>
      <c r="AP72" s="122"/>
      <c r="AQ72" s="122"/>
      <c r="AR72" s="117"/>
      <c r="AS72" s="117"/>
      <c r="AT72" s="117"/>
      <c r="AU72" s="117"/>
      <c r="AV72" s="117"/>
      <c r="AW72" s="117"/>
      <c r="AX72" s="117"/>
      <c r="AY72" s="117"/>
      <c r="AZ72" s="117"/>
      <c r="BA72" s="117"/>
      <c r="BB72" s="117"/>
      <c r="BC72" s="117"/>
      <c r="BD72" s="117"/>
      <c r="BE72" s="117"/>
      <c r="BF72" s="117"/>
      <c r="BG72" s="117"/>
      <c r="BH72" s="117"/>
      <c r="BI72" s="117"/>
      <c r="BJ72" s="117"/>
      <c r="BK72" s="117"/>
      <c r="BL72" s="117"/>
      <c r="BM72" s="117"/>
      <c r="BN72" s="117"/>
      <c r="BO72" s="117"/>
      <c r="BP72" s="117"/>
      <c r="BQ72" s="117"/>
      <c r="BR72" s="117"/>
      <c r="BS72" s="117"/>
      <c r="BT72" s="117"/>
      <c r="BU72" s="117"/>
      <c r="BV72" s="117"/>
      <c r="BW72" s="117"/>
      <c r="BX72" s="117"/>
      <c r="BY72" s="117"/>
      <c r="BZ72" s="117"/>
      <c r="CA72" s="117"/>
      <c r="CB72" s="117"/>
      <c r="CC72" s="117"/>
      <c r="CD72" s="117"/>
      <c r="CE72" s="117"/>
      <c r="CF72" s="117"/>
      <c r="CG72" s="117"/>
      <c r="CH72" s="117"/>
      <c r="CI72" s="117"/>
      <c r="CJ72" s="117"/>
      <c r="CK72" s="117"/>
      <c r="CL72" s="117"/>
      <c r="CM72" s="117"/>
      <c r="CN72" s="117"/>
      <c r="CO72" s="117"/>
      <c r="CP72" s="117"/>
      <c r="CQ72" s="117"/>
      <c r="CR72" s="117"/>
      <c r="CS72" s="117"/>
      <c r="CT72" s="117"/>
      <c r="CU72" s="117"/>
      <c r="CV72" s="117"/>
      <c r="CW72" s="117"/>
      <c r="CX72" s="117"/>
      <c r="CY72" s="117"/>
      <c r="CZ72" s="117"/>
      <c r="DA72" s="117"/>
      <c r="DB72" s="117"/>
      <c r="DC72" s="117"/>
      <c r="DD72" s="117"/>
      <c r="DE72" s="117"/>
      <c r="DF72" s="117"/>
      <c r="DG72" s="117"/>
      <c r="DH72" s="117"/>
      <c r="DI72" s="117"/>
      <c r="DJ72" s="117"/>
      <c r="DK72" s="117"/>
      <c r="DL72" s="117"/>
      <c r="DM72" s="117"/>
    </row>
    <row r="73" spans="1:211" s="155" customFormat="1" ht="13.35" customHeight="1" x14ac:dyDescent="0.25">
      <c r="B73" s="156"/>
      <c r="C73" s="565" t="s">
        <v>174</v>
      </c>
      <c r="D73" s="565"/>
      <c r="E73" s="173" t="s">
        <v>175</v>
      </c>
      <c r="F73" s="145"/>
      <c r="G73" s="166" t="s">
        <v>176</v>
      </c>
      <c r="H73" s="549">
        <f>Vragenlijst!G73</f>
        <v>0</v>
      </c>
      <c r="I73" s="168">
        <v>1</v>
      </c>
      <c r="J73" s="223">
        <f>Uurtarieven!$C$7</f>
        <v>160</v>
      </c>
      <c r="K73" s="380">
        <v>1</v>
      </c>
      <c r="L73" s="145"/>
      <c r="M73" s="603">
        <f>K73*J73*I73*H73</f>
        <v>0</v>
      </c>
      <c r="N73" s="604"/>
      <c r="O73" s="605">
        <f>H73*I73*K73</f>
        <v>0</v>
      </c>
      <c r="P73" s="606"/>
      <c r="Q73" s="122"/>
      <c r="R73" s="122"/>
      <c r="S73" s="122"/>
      <c r="T73" s="122"/>
      <c r="U73" s="122"/>
      <c r="V73" s="122"/>
      <c r="W73" s="122"/>
      <c r="X73" s="122"/>
      <c r="Y73" s="122"/>
      <c r="Z73" s="122"/>
      <c r="AA73" s="122"/>
      <c r="AB73" s="122"/>
      <c r="AC73" s="122"/>
      <c r="AD73" s="122"/>
      <c r="AE73" s="122"/>
      <c r="AF73" s="122"/>
      <c r="AG73" s="122"/>
      <c r="AH73" s="122"/>
      <c r="AI73" s="122"/>
      <c r="AJ73" s="122"/>
      <c r="AK73" s="122"/>
      <c r="AL73" s="122"/>
      <c r="AM73" s="122"/>
      <c r="AN73" s="122"/>
      <c r="AO73" s="122"/>
      <c r="AP73" s="122"/>
      <c r="AQ73" s="122"/>
      <c r="AR73" s="117"/>
      <c r="AS73" s="117"/>
      <c r="AT73" s="117"/>
      <c r="AU73" s="117"/>
      <c r="AV73" s="117"/>
      <c r="AW73" s="117"/>
      <c r="AX73" s="117"/>
      <c r="AY73" s="117"/>
      <c r="AZ73" s="117"/>
      <c r="BA73" s="117"/>
      <c r="BB73" s="117"/>
      <c r="BC73" s="117"/>
      <c r="BD73" s="117"/>
      <c r="BE73" s="117"/>
      <c r="BF73" s="117"/>
      <c r="BG73" s="117"/>
      <c r="BH73" s="117"/>
      <c r="BI73" s="117"/>
      <c r="BJ73" s="117"/>
      <c r="BK73" s="117"/>
      <c r="BL73" s="117"/>
      <c r="BM73" s="117"/>
      <c r="BN73" s="117"/>
      <c r="BO73" s="117"/>
      <c r="BP73" s="117"/>
      <c r="BQ73" s="117"/>
      <c r="BR73" s="117"/>
      <c r="BS73" s="117"/>
      <c r="BT73" s="117"/>
      <c r="BU73" s="117"/>
      <c r="BV73" s="117"/>
      <c r="BW73" s="117"/>
      <c r="BX73" s="117"/>
      <c r="BY73" s="117"/>
      <c r="BZ73" s="117"/>
      <c r="CA73" s="117"/>
      <c r="CB73" s="117"/>
      <c r="CC73" s="117"/>
      <c r="CD73" s="117"/>
      <c r="CE73" s="117"/>
      <c r="CF73" s="117"/>
      <c r="CG73" s="117"/>
      <c r="CH73" s="117"/>
      <c r="CI73" s="117"/>
      <c r="CJ73" s="117"/>
      <c r="CK73" s="117"/>
      <c r="CL73" s="117"/>
      <c r="CM73" s="117"/>
      <c r="CN73" s="117"/>
      <c r="CO73" s="117"/>
      <c r="CP73" s="117"/>
      <c r="CQ73" s="117"/>
      <c r="CR73" s="117"/>
      <c r="CS73" s="117"/>
      <c r="CT73" s="117"/>
      <c r="CU73" s="117"/>
      <c r="CV73" s="117"/>
      <c r="CW73" s="117"/>
      <c r="CX73" s="117"/>
      <c r="CY73" s="117"/>
      <c r="CZ73" s="117"/>
      <c r="DA73" s="117"/>
      <c r="DB73" s="117"/>
      <c r="DC73" s="117"/>
      <c r="DD73" s="117"/>
      <c r="DE73" s="117"/>
      <c r="DF73" s="117"/>
      <c r="DG73" s="117"/>
      <c r="DH73" s="117"/>
      <c r="DI73" s="117"/>
      <c r="DJ73" s="117"/>
      <c r="DK73" s="117"/>
      <c r="DL73" s="117"/>
      <c r="DM73" s="117"/>
    </row>
    <row r="74" spans="1:211" s="155" customFormat="1" ht="13.35" customHeight="1" x14ac:dyDescent="0.25">
      <c r="A74" s="117"/>
      <c r="B74" s="156"/>
      <c r="C74" s="188"/>
      <c r="D74" s="188"/>
      <c r="E74" s="173" t="s">
        <v>177</v>
      </c>
      <c r="F74" s="145"/>
      <c r="G74" s="166" t="s">
        <v>176</v>
      </c>
      <c r="H74" s="550">
        <f>Vragenlijst!G74</f>
        <v>0</v>
      </c>
      <c r="I74" s="657">
        <f>IFERROR(IF((Vragenlijst!G73+Vragenlijst!G74)&lt;4,(Vragenlijst!G73+Vragenlijst!G74)/2,2),2)</f>
        <v>0</v>
      </c>
      <c r="J74" s="223">
        <f>Uurtarieven!$C$7</f>
        <v>160</v>
      </c>
      <c r="K74" s="380">
        <v>1</v>
      </c>
      <c r="L74" s="145"/>
      <c r="M74" s="603">
        <f>K74*J74*I74*H74</f>
        <v>0</v>
      </c>
      <c r="N74" s="604"/>
      <c r="O74" s="605">
        <f>(H74*I74*K74)</f>
        <v>0</v>
      </c>
      <c r="P74" s="606"/>
      <c r="Q74" s="122"/>
      <c r="R74" s="122"/>
      <c r="S74" s="122"/>
      <c r="T74" s="122"/>
      <c r="U74" s="122"/>
      <c r="V74" s="122"/>
      <c r="W74" s="122"/>
      <c r="X74" s="122"/>
      <c r="Y74" s="122"/>
      <c r="Z74" s="122"/>
      <c r="AA74" s="122"/>
      <c r="AB74" s="122"/>
      <c r="AC74" s="122"/>
      <c r="AD74" s="122"/>
      <c r="AE74" s="122"/>
      <c r="AF74" s="122"/>
      <c r="AG74" s="122"/>
      <c r="AH74" s="122"/>
      <c r="AI74" s="122"/>
      <c r="AJ74" s="122"/>
      <c r="AK74" s="122"/>
      <c r="AL74" s="122"/>
      <c r="AM74" s="122"/>
      <c r="AN74" s="122"/>
      <c r="AO74" s="122"/>
      <c r="AP74" s="122"/>
      <c r="AQ74" s="122"/>
      <c r="AR74" s="117"/>
      <c r="AS74" s="117"/>
      <c r="AT74" s="117"/>
      <c r="AU74" s="117"/>
      <c r="AV74" s="117"/>
      <c r="AW74" s="117"/>
      <c r="AX74" s="117"/>
      <c r="AY74" s="117"/>
      <c r="AZ74" s="117"/>
      <c r="BA74" s="117"/>
      <c r="BB74" s="117"/>
      <c r="BC74" s="117"/>
      <c r="BD74" s="117"/>
      <c r="BE74" s="117"/>
      <c r="BF74" s="117"/>
      <c r="BG74" s="117"/>
      <c r="BH74" s="117"/>
      <c r="BI74" s="117"/>
      <c r="BJ74" s="117"/>
      <c r="BK74" s="117"/>
      <c r="BL74" s="117"/>
      <c r="BM74" s="117"/>
      <c r="BN74" s="117"/>
      <c r="BO74" s="117"/>
      <c r="BP74" s="117"/>
      <c r="BQ74" s="117"/>
      <c r="BR74" s="117"/>
      <c r="BS74" s="117"/>
      <c r="BT74" s="117"/>
      <c r="BU74" s="117"/>
      <c r="BV74" s="117"/>
      <c r="BW74" s="117"/>
      <c r="BX74" s="117"/>
      <c r="BY74" s="117"/>
      <c r="BZ74" s="117"/>
      <c r="CA74" s="117"/>
      <c r="CB74" s="117"/>
      <c r="CC74" s="117"/>
      <c r="CD74" s="117"/>
      <c r="CE74" s="117"/>
      <c r="CF74" s="117"/>
      <c r="CG74" s="117"/>
      <c r="CH74" s="117"/>
      <c r="CI74" s="117"/>
      <c r="CJ74" s="117"/>
      <c r="CK74" s="117"/>
      <c r="CL74" s="117"/>
      <c r="CM74" s="117"/>
      <c r="CN74" s="117"/>
      <c r="CO74" s="117"/>
      <c r="CP74" s="117"/>
      <c r="CQ74" s="117"/>
      <c r="CR74" s="117"/>
      <c r="CS74" s="117"/>
      <c r="CT74" s="117"/>
      <c r="CU74" s="117"/>
      <c r="CV74" s="117"/>
      <c r="CW74" s="117"/>
      <c r="CX74" s="117"/>
      <c r="CY74" s="117"/>
      <c r="CZ74" s="117"/>
      <c r="DA74" s="117"/>
      <c r="DB74" s="117"/>
      <c r="DC74" s="117"/>
      <c r="DD74" s="117"/>
      <c r="DE74" s="117"/>
      <c r="DF74" s="117"/>
      <c r="DG74" s="117"/>
      <c r="DH74" s="117"/>
      <c r="DI74" s="117"/>
      <c r="DJ74" s="117"/>
      <c r="DK74" s="117"/>
      <c r="DL74" s="117"/>
      <c r="DM74" s="117"/>
    </row>
    <row r="75" spans="1:211" s="155" customFormat="1" ht="13.35" customHeight="1" x14ac:dyDescent="0.25">
      <c r="A75" s="117"/>
      <c r="B75" s="156"/>
      <c r="C75" s="188"/>
      <c r="D75" s="188"/>
      <c r="E75" s="173" t="s">
        <v>178</v>
      </c>
      <c r="F75" s="145"/>
      <c r="G75" s="166" t="s">
        <v>156</v>
      </c>
      <c r="H75" s="550">
        <f>IF((H73+H74)&gt;=1,1,0)</f>
        <v>0</v>
      </c>
      <c r="I75" s="165">
        <v>16</v>
      </c>
      <c r="J75" s="224">
        <f>Uurtarieven!$C$10</f>
        <v>160</v>
      </c>
      <c r="K75" s="380">
        <v>1</v>
      </c>
      <c r="L75" s="145"/>
      <c r="M75" s="603">
        <f>K75*J75*I75*H75</f>
        <v>0</v>
      </c>
      <c r="N75" s="604"/>
      <c r="O75" s="605">
        <f>H75*I75*K75</f>
        <v>0</v>
      </c>
      <c r="P75" s="606"/>
      <c r="Q75" s="122"/>
      <c r="R75" s="122"/>
      <c r="S75" s="122"/>
      <c r="T75" s="122"/>
      <c r="U75" s="122"/>
      <c r="V75" s="122"/>
      <c r="W75" s="122"/>
      <c r="X75" s="122"/>
      <c r="Y75" s="122"/>
      <c r="Z75" s="122"/>
      <c r="AA75" s="122"/>
      <c r="AB75" s="122"/>
      <c r="AC75" s="122"/>
      <c r="AD75" s="122"/>
      <c r="AE75" s="122"/>
      <c r="AF75" s="122"/>
      <c r="AG75" s="122"/>
      <c r="AH75" s="122"/>
      <c r="AI75" s="122"/>
      <c r="AJ75" s="122"/>
      <c r="AK75" s="122"/>
      <c r="AL75" s="122"/>
      <c r="AM75" s="122"/>
      <c r="AN75" s="122"/>
      <c r="AO75" s="122"/>
      <c r="AP75" s="122"/>
      <c r="AQ75" s="122"/>
      <c r="AR75" s="117"/>
      <c r="AS75" s="117"/>
      <c r="AT75" s="117"/>
      <c r="AU75" s="117"/>
      <c r="AV75" s="117"/>
      <c r="AW75" s="117"/>
      <c r="AX75" s="117"/>
      <c r="AY75" s="117"/>
      <c r="AZ75" s="117"/>
      <c r="BA75" s="117"/>
      <c r="BB75" s="117"/>
      <c r="BC75" s="117"/>
      <c r="BD75" s="117"/>
      <c r="BE75" s="117"/>
      <c r="BF75" s="117"/>
      <c r="BG75" s="117"/>
      <c r="BH75" s="117"/>
      <c r="BI75" s="117"/>
      <c r="BJ75" s="117"/>
      <c r="BK75" s="117"/>
      <c r="BL75" s="117"/>
      <c r="BM75" s="117"/>
      <c r="BN75" s="117"/>
      <c r="BO75" s="117"/>
      <c r="BP75" s="117"/>
      <c r="BQ75" s="117"/>
      <c r="BR75" s="117"/>
      <c r="BS75" s="117"/>
      <c r="BT75" s="117"/>
      <c r="BU75" s="117"/>
      <c r="BV75" s="117"/>
      <c r="BW75" s="117"/>
      <c r="BX75" s="117"/>
      <c r="BY75" s="117"/>
      <c r="BZ75" s="117"/>
      <c r="CA75" s="117"/>
      <c r="CB75" s="117"/>
      <c r="CC75" s="117"/>
      <c r="CD75" s="117"/>
      <c r="CE75" s="117"/>
      <c r="CF75" s="117"/>
      <c r="CG75" s="117"/>
      <c r="CH75" s="117"/>
      <c r="CI75" s="117"/>
      <c r="CJ75" s="117"/>
      <c r="CK75" s="117"/>
      <c r="CL75" s="117"/>
      <c r="CM75" s="117"/>
      <c r="CN75" s="117"/>
      <c r="CO75" s="117"/>
      <c r="CP75" s="117"/>
      <c r="CQ75" s="117"/>
      <c r="CR75" s="117"/>
      <c r="CS75" s="117"/>
      <c r="CT75" s="117"/>
      <c r="CU75" s="117"/>
      <c r="CV75" s="117"/>
      <c r="CW75" s="117"/>
      <c r="CX75" s="117"/>
      <c r="CY75" s="117"/>
      <c r="CZ75" s="117"/>
      <c r="DA75" s="117"/>
      <c r="DB75" s="117"/>
      <c r="DC75" s="117"/>
      <c r="DD75" s="117"/>
      <c r="DE75" s="117"/>
      <c r="DF75" s="117"/>
      <c r="DG75" s="117"/>
      <c r="DH75" s="117"/>
      <c r="DI75" s="117"/>
      <c r="DJ75" s="117"/>
      <c r="DK75" s="117"/>
      <c r="DL75" s="117"/>
      <c r="DM75" s="117"/>
    </row>
    <row r="76" spans="1:211" s="155" customFormat="1" x14ac:dyDescent="0.25">
      <c r="A76" s="117"/>
      <c r="B76" s="161"/>
      <c r="C76" s="162"/>
      <c r="D76" s="162"/>
      <c r="E76" s="173"/>
      <c r="F76" s="145"/>
      <c r="G76" s="166" t="s">
        <v>150</v>
      </c>
      <c r="H76" s="551">
        <v>0.05</v>
      </c>
      <c r="I76" s="168">
        <f>I73*H73+I74*H74+I75*H75</f>
        <v>0</v>
      </c>
      <c r="J76" s="224">
        <f>Uurtarieven!$C$11</f>
        <v>181</v>
      </c>
      <c r="K76" s="380">
        <v>1</v>
      </c>
      <c r="L76" s="167"/>
      <c r="M76" s="603">
        <f>K76*J76*I76*H76</f>
        <v>0</v>
      </c>
      <c r="N76" s="607"/>
      <c r="O76" s="605">
        <f>H76*I76*K76</f>
        <v>0</v>
      </c>
      <c r="P76" s="608"/>
      <c r="Q76" s="122"/>
      <c r="R76" s="122"/>
      <c r="S76" s="122"/>
      <c r="T76" s="122"/>
      <c r="U76" s="122"/>
      <c r="V76" s="122"/>
      <c r="W76" s="122"/>
      <c r="X76" s="122"/>
      <c r="Y76" s="122"/>
      <c r="Z76" s="122"/>
      <c r="AA76" s="122"/>
      <c r="AB76" s="122"/>
      <c r="AC76" s="122"/>
      <c r="AD76" s="122"/>
      <c r="AE76" s="122"/>
      <c r="AF76" s="122"/>
      <c r="AG76" s="122"/>
      <c r="AH76" s="122"/>
      <c r="AI76" s="122"/>
      <c r="AJ76" s="122"/>
      <c r="AK76" s="122"/>
      <c r="AL76" s="122"/>
      <c r="AM76" s="122"/>
      <c r="AN76" s="122"/>
      <c r="AO76" s="122"/>
      <c r="AP76" s="122"/>
      <c r="AQ76" s="122"/>
      <c r="AR76" s="117"/>
      <c r="AS76" s="117"/>
      <c r="AT76" s="117"/>
      <c r="AU76" s="117"/>
      <c r="AV76" s="117"/>
      <c r="AW76" s="117"/>
      <c r="AX76" s="117"/>
      <c r="AY76" s="117"/>
      <c r="AZ76" s="117"/>
      <c r="BA76" s="117"/>
      <c r="BB76" s="117"/>
      <c r="BC76" s="117"/>
      <c r="BD76" s="117"/>
      <c r="BE76" s="117"/>
      <c r="BF76" s="117"/>
      <c r="BG76" s="117"/>
      <c r="BH76" s="117"/>
      <c r="BI76" s="117"/>
      <c r="BJ76" s="117"/>
      <c r="BK76" s="117"/>
      <c r="BL76" s="117"/>
      <c r="BM76" s="117"/>
      <c r="BN76" s="117"/>
      <c r="BO76" s="117"/>
      <c r="BP76" s="117"/>
      <c r="BQ76" s="117"/>
      <c r="BR76" s="117"/>
      <c r="BS76" s="117"/>
      <c r="BT76" s="117"/>
      <c r="BU76" s="117"/>
      <c r="BV76" s="117"/>
      <c r="BW76" s="117"/>
      <c r="BX76" s="117"/>
      <c r="BY76" s="117"/>
      <c r="BZ76" s="117"/>
      <c r="CA76" s="117"/>
      <c r="CB76" s="117"/>
      <c r="CC76" s="117"/>
      <c r="CD76" s="117"/>
      <c r="CE76" s="117"/>
      <c r="CF76" s="117"/>
      <c r="CG76" s="117"/>
      <c r="CH76" s="117"/>
      <c r="CI76" s="117"/>
      <c r="CJ76" s="117"/>
      <c r="CK76" s="117"/>
      <c r="CL76" s="117"/>
      <c r="CM76" s="117"/>
      <c r="CN76" s="117"/>
      <c r="CO76" s="117"/>
      <c r="CP76" s="117"/>
      <c r="CQ76" s="117"/>
      <c r="CR76" s="117"/>
      <c r="CS76" s="117"/>
      <c r="CT76" s="117"/>
      <c r="CU76" s="117"/>
      <c r="CV76" s="117"/>
      <c r="CW76" s="117"/>
      <c r="CX76" s="117"/>
      <c r="CY76" s="117"/>
      <c r="CZ76" s="117"/>
      <c r="DA76" s="117"/>
      <c r="DB76" s="117"/>
      <c r="DC76" s="117"/>
      <c r="DD76" s="117"/>
      <c r="DE76" s="117"/>
      <c r="DF76" s="117"/>
      <c r="DG76" s="117"/>
      <c r="DH76" s="117"/>
      <c r="DI76" s="117"/>
      <c r="DJ76" s="117"/>
      <c r="DK76" s="117"/>
      <c r="DL76" s="117"/>
      <c r="DM76" s="117"/>
    </row>
    <row r="77" spans="1:211" s="155" customFormat="1" x14ac:dyDescent="0.25">
      <c r="A77" s="117"/>
      <c r="B77" s="161"/>
      <c r="C77" s="162"/>
      <c r="D77" s="162"/>
      <c r="E77" s="173"/>
      <c r="F77" s="145"/>
      <c r="G77" s="166" t="s">
        <v>151</v>
      </c>
      <c r="H77" s="551">
        <v>0.01</v>
      </c>
      <c r="I77" s="165">
        <f>I73*H73+I74*H74+I75*H75</f>
        <v>0</v>
      </c>
      <c r="J77" s="223">
        <f>Uurtarieven!$C$8</f>
        <v>126</v>
      </c>
      <c r="K77" s="380">
        <v>1</v>
      </c>
      <c r="L77" s="167"/>
      <c r="M77" s="603">
        <f>K77*J77*I77*H77</f>
        <v>0</v>
      </c>
      <c r="N77" s="607"/>
      <c r="O77" s="605">
        <f>H77*I77*K77</f>
        <v>0</v>
      </c>
      <c r="P77" s="608"/>
      <c r="Q77" s="122"/>
      <c r="R77" s="122"/>
      <c r="S77" s="122"/>
      <c r="T77" s="122"/>
      <c r="U77" s="122"/>
      <c r="V77" s="122"/>
      <c r="W77" s="122"/>
      <c r="X77" s="122"/>
      <c r="Y77" s="122"/>
      <c r="Z77" s="122"/>
      <c r="AA77" s="122"/>
      <c r="AB77" s="122"/>
      <c r="AC77" s="122"/>
      <c r="AD77" s="122"/>
      <c r="AE77" s="122"/>
      <c r="AF77" s="122"/>
      <c r="AG77" s="122"/>
      <c r="AH77" s="122"/>
      <c r="AI77" s="122"/>
      <c r="AJ77" s="122"/>
      <c r="AK77" s="122"/>
      <c r="AL77" s="122"/>
      <c r="AM77" s="122"/>
      <c r="AN77" s="122"/>
      <c r="AO77" s="122"/>
      <c r="AP77" s="122"/>
      <c r="AQ77" s="122"/>
      <c r="AR77" s="117"/>
      <c r="AS77" s="117"/>
      <c r="AT77" s="117"/>
      <c r="AU77" s="117"/>
      <c r="AV77" s="117"/>
      <c r="AW77" s="117"/>
      <c r="AX77" s="117"/>
      <c r="AY77" s="117"/>
      <c r="AZ77" s="117"/>
      <c r="BA77" s="117"/>
      <c r="BB77" s="117"/>
      <c r="BC77" s="117"/>
      <c r="BD77" s="117"/>
      <c r="BE77" s="117"/>
      <c r="BF77" s="117"/>
      <c r="BG77" s="117"/>
      <c r="BH77" s="117"/>
      <c r="BI77" s="117"/>
      <c r="BJ77" s="117"/>
      <c r="BK77" s="117"/>
      <c r="BL77" s="117"/>
      <c r="BM77" s="117"/>
      <c r="BN77" s="117"/>
      <c r="BO77" s="117"/>
      <c r="BP77" s="117"/>
      <c r="BQ77" s="117"/>
      <c r="BR77" s="117"/>
      <c r="BS77" s="117"/>
      <c r="BT77" s="117"/>
      <c r="BU77" s="117"/>
      <c r="BV77" s="117"/>
      <c r="BW77" s="117"/>
      <c r="BX77" s="117"/>
      <c r="BY77" s="117"/>
      <c r="BZ77" s="117"/>
      <c r="CA77" s="117"/>
      <c r="CB77" s="117"/>
      <c r="CC77" s="117"/>
      <c r="CD77" s="117"/>
      <c r="CE77" s="117"/>
      <c r="CF77" s="117"/>
      <c r="CG77" s="117"/>
      <c r="CH77" s="117"/>
      <c r="CI77" s="117"/>
      <c r="CJ77" s="117"/>
      <c r="CK77" s="117"/>
      <c r="CL77" s="117"/>
      <c r="CM77" s="117"/>
      <c r="CN77" s="117"/>
      <c r="CO77" s="117"/>
      <c r="CP77" s="117"/>
      <c r="CQ77" s="117"/>
      <c r="CR77" s="117"/>
      <c r="CS77" s="117"/>
      <c r="CT77" s="117"/>
      <c r="CU77" s="117"/>
      <c r="CV77" s="117"/>
      <c r="CW77" s="117"/>
      <c r="CX77" s="117"/>
      <c r="CY77" s="117"/>
      <c r="CZ77" s="117"/>
      <c r="DA77" s="117"/>
      <c r="DB77" s="117"/>
      <c r="DC77" s="117"/>
      <c r="DD77" s="117"/>
      <c r="DE77" s="117"/>
      <c r="DF77" s="117"/>
      <c r="DG77" s="117"/>
      <c r="DH77" s="117"/>
      <c r="DI77" s="117"/>
      <c r="DJ77" s="117"/>
      <c r="DK77" s="117"/>
      <c r="DL77" s="117"/>
      <c r="DM77" s="117"/>
    </row>
    <row r="78" spans="1:211" s="155" customFormat="1" ht="13.35" customHeight="1" x14ac:dyDescent="0.25">
      <c r="A78" s="117"/>
      <c r="B78" s="156"/>
      <c r="C78" s="188"/>
      <c r="D78" s="188"/>
      <c r="E78" s="173"/>
      <c r="F78" s="145"/>
      <c r="G78" s="151"/>
      <c r="H78" s="548"/>
      <c r="I78" s="168"/>
      <c r="J78" s="223"/>
      <c r="K78" s="380"/>
      <c r="L78" s="145"/>
      <c r="M78" s="609"/>
      <c r="N78" s="431">
        <f>IF((M73+M74)&lt;(4*Uurtarieven!C6),((4*Uurtarieven!C6)+M75+M76+M77)*H75,SUM(M73:M77))</f>
        <v>0</v>
      </c>
      <c r="O78" s="610"/>
      <c r="P78" s="611">
        <f>IF((O73+O74)&lt;4,(4+O75+O76+O77)*H75,SUM(O73:O77))</f>
        <v>0</v>
      </c>
      <c r="Q78" s="122"/>
      <c r="R78" s="122"/>
      <c r="S78" s="122"/>
      <c r="T78" s="122"/>
      <c r="U78" s="122"/>
      <c r="V78" s="122"/>
      <c r="W78" s="122"/>
      <c r="X78" s="122"/>
      <c r="Y78" s="122"/>
      <c r="Z78" s="122"/>
      <c r="AA78" s="122"/>
      <c r="AB78" s="122"/>
      <c r="AC78" s="122"/>
      <c r="AD78" s="122"/>
      <c r="AE78" s="122"/>
      <c r="AF78" s="122"/>
      <c r="AG78" s="122"/>
      <c r="AH78" s="122"/>
      <c r="AI78" s="122"/>
      <c r="AJ78" s="122"/>
      <c r="AK78" s="122"/>
      <c r="AL78" s="122"/>
      <c r="AM78" s="122"/>
      <c r="AN78" s="122"/>
      <c r="AO78" s="122"/>
      <c r="AP78" s="122"/>
      <c r="AQ78" s="122"/>
      <c r="AR78" s="117"/>
      <c r="AS78" s="117"/>
      <c r="AT78" s="117"/>
      <c r="AU78" s="117"/>
      <c r="AV78" s="117"/>
      <c r="AW78" s="117"/>
      <c r="AX78" s="117"/>
      <c r="AY78" s="117"/>
      <c r="AZ78" s="117"/>
      <c r="BA78" s="117"/>
      <c r="BB78" s="117"/>
      <c r="BC78" s="117"/>
      <c r="BD78" s="117"/>
      <c r="BE78" s="117"/>
      <c r="BF78" s="117"/>
      <c r="BG78" s="117"/>
      <c r="BH78" s="117"/>
      <c r="BI78" s="117"/>
      <c r="BJ78" s="117"/>
      <c r="BK78" s="117"/>
      <c r="BL78" s="117"/>
      <c r="BM78" s="117"/>
      <c r="BN78" s="117"/>
      <c r="BO78" s="117"/>
      <c r="BP78" s="117"/>
      <c r="BQ78" s="117"/>
      <c r="BR78" s="117"/>
      <c r="BS78" s="117"/>
      <c r="BT78" s="117"/>
      <c r="BU78" s="117"/>
      <c r="BV78" s="117"/>
      <c r="BW78" s="117"/>
      <c r="BX78" s="117"/>
      <c r="BY78" s="117"/>
      <c r="BZ78" s="117"/>
      <c r="CA78" s="117"/>
      <c r="CB78" s="117"/>
      <c r="CC78" s="117"/>
      <c r="CD78" s="117"/>
      <c r="CE78" s="117"/>
      <c r="CF78" s="117"/>
      <c r="CG78" s="117"/>
      <c r="CH78" s="117"/>
      <c r="CI78" s="117"/>
      <c r="CJ78" s="117"/>
      <c r="CK78" s="117"/>
      <c r="CL78" s="117"/>
      <c r="CM78" s="117"/>
      <c r="CN78" s="117"/>
      <c r="CO78" s="117"/>
      <c r="CP78" s="117"/>
      <c r="CQ78" s="117"/>
      <c r="CR78" s="117"/>
      <c r="CS78" s="117"/>
      <c r="CT78" s="117"/>
      <c r="CU78" s="117"/>
      <c r="CV78" s="117"/>
      <c r="CW78" s="117"/>
      <c r="CX78" s="117"/>
      <c r="CY78" s="117"/>
      <c r="CZ78" s="117"/>
      <c r="DA78" s="117"/>
      <c r="DB78" s="117"/>
      <c r="DC78" s="117"/>
      <c r="DD78" s="117"/>
      <c r="DE78" s="117"/>
      <c r="DF78" s="117"/>
      <c r="DG78" s="117"/>
      <c r="DH78" s="117"/>
      <c r="DI78" s="117"/>
      <c r="DJ78" s="117"/>
      <c r="DK78" s="117"/>
      <c r="DL78" s="117"/>
      <c r="DM78" s="117"/>
    </row>
    <row r="79" spans="1:211" s="155" customFormat="1" ht="13.35" customHeight="1" x14ac:dyDescent="0.25">
      <c r="A79" s="117"/>
      <c r="B79" s="156"/>
      <c r="C79" s="189"/>
      <c r="D79" s="189"/>
      <c r="E79" s="158" t="s">
        <v>179</v>
      </c>
      <c r="F79" s="145"/>
      <c r="G79" s="151"/>
      <c r="H79" s="548"/>
      <c r="I79" s="168"/>
      <c r="J79" s="223"/>
      <c r="K79" s="380"/>
      <c r="L79" s="145"/>
      <c r="M79" s="361"/>
      <c r="O79" s="594"/>
      <c r="P79" s="360"/>
      <c r="Q79" s="122"/>
      <c r="R79" s="122"/>
      <c r="S79" s="122"/>
      <c r="T79" s="122"/>
      <c r="U79" s="122"/>
      <c r="V79" s="122"/>
      <c r="W79" s="122"/>
      <c r="X79" s="122"/>
      <c r="Y79" s="122"/>
      <c r="Z79" s="122"/>
      <c r="AA79" s="122"/>
      <c r="AB79" s="122"/>
      <c r="AC79" s="122"/>
      <c r="AD79" s="122"/>
      <c r="AE79" s="122"/>
      <c r="AF79" s="122"/>
      <c r="AG79" s="122"/>
      <c r="AH79" s="122"/>
      <c r="AI79" s="122"/>
      <c r="AJ79" s="122"/>
      <c r="AK79" s="122"/>
      <c r="AL79" s="122"/>
      <c r="AM79" s="122"/>
      <c r="AN79" s="122"/>
      <c r="AO79" s="122"/>
      <c r="AP79" s="122"/>
      <c r="AQ79" s="122"/>
      <c r="AR79" s="117"/>
      <c r="AS79" s="117"/>
      <c r="AT79" s="117"/>
      <c r="AU79" s="117"/>
      <c r="AV79" s="117"/>
      <c r="AW79" s="117"/>
      <c r="AX79" s="117"/>
      <c r="AY79" s="117"/>
      <c r="AZ79" s="117"/>
      <c r="BA79" s="117"/>
      <c r="BB79" s="117"/>
      <c r="BC79" s="117"/>
      <c r="BD79" s="117"/>
      <c r="BE79" s="117"/>
      <c r="BF79" s="117"/>
      <c r="BG79" s="117"/>
      <c r="BH79" s="117"/>
      <c r="BI79" s="117"/>
      <c r="BJ79" s="117"/>
      <c r="BK79" s="117"/>
      <c r="BL79" s="117"/>
      <c r="BM79" s="117"/>
      <c r="BN79" s="117"/>
      <c r="BO79" s="117"/>
      <c r="BP79" s="117"/>
      <c r="BQ79" s="117"/>
      <c r="BR79" s="117"/>
      <c r="BS79" s="117"/>
      <c r="BT79" s="117"/>
      <c r="BU79" s="117"/>
      <c r="BV79" s="117"/>
      <c r="BW79" s="117"/>
      <c r="BX79" s="117"/>
      <c r="BY79" s="117"/>
      <c r="BZ79" s="117"/>
      <c r="CA79" s="117"/>
      <c r="CB79" s="117"/>
      <c r="CC79" s="117"/>
      <c r="CD79" s="117"/>
      <c r="CE79" s="117"/>
      <c r="CF79" s="117"/>
      <c r="CG79" s="117"/>
      <c r="CH79" s="117"/>
      <c r="CI79" s="117"/>
      <c r="CJ79" s="117"/>
      <c r="CK79" s="117"/>
      <c r="CL79" s="117"/>
      <c r="CM79" s="117"/>
      <c r="CN79" s="117"/>
      <c r="CO79" s="117"/>
      <c r="CP79" s="117"/>
      <c r="CQ79" s="117"/>
      <c r="CR79" s="117"/>
      <c r="CS79" s="117"/>
      <c r="CT79" s="117"/>
      <c r="CU79" s="117"/>
      <c r="CV79" s="117"/>
      <c r="CW79" s="117"/>
      <c r="CX79" s="117"/>
      <c r="CY79" s="117"/>
      <c r="CZ79" s="117"/>
      <c r="DA79" s="117"/>
      <c r="DB79" s="117"/>
      <c r="DC79" s="117"/>
      <c r="DD79" s="117"/>
      <c r="DE79" s="117"/>
      <c r="DF79" s="117"/>
      <c r="DG79" s="117"/>
      <c r="DH79" s="117"/>
      <c r="DI79" s="117"/>
      <c r="DJ79" s="117"/>
      <c r="DK79" s="117"/>
      <c r="DL79" s="117"/>
      <c r="DM79" s="117"/>
    </row>
    <row r="80" spans="1:211" s="155" customFormat="1" ht="13.35" customHeight="1" x14ac:dyDescent="0.25">
      <c r="A80" s="117"/>
      <c r="B80" s="156"/>
      <c r="C80" s="188"/>
      <c r="D80" s="188"/>
      <c r="E80" s="173" t="s">
        <v>175</v>
      </c>
      <c r="F80" s="145"/>
      <c r="G80" s="166" t="s">
        <v>180</v>
      </c>
      <c r="H80" s="549">
        <f>Vragenlijst!E73</f>
        <v>0</v>
      </c>
      <c r="I80" s="165">
        <v>0.25</v>
      </c>
      <c r="J80" s="223">
        <f>Uurtarieven!$C$10</f>
        <v>160</v>
      </c>
      <c r="K80" s="380">
        <v>1</v>
      </c>
      <c r="L80" s="145"/>
      <c r="M80" s="361">
        <f>K80*J80*I80*H80</f>
        <v>0</v>
      </c>
      <c r="N80" s="359"/>
      <c r="O80" s="594">
        <f>H80*I80*K80</f>
        <v>0</v>
      </c>
      <c r="P80" s="360"/>
      <c r="Q80" s="122"/>
      <c r="R80" s="122"/>
      <c r="S80" s="122"/>
      <c r="T80" s="122"/>
      <c r="U80" s="122"/>
      <c r="V80" s="122"/>
      <c r="W80" s="122"/>
      <c r="X80" s="122"/>
      <c r="Y80" s="122"/>
      <c r="Z80" s="122"/>
      <c r="AA80" s="122"/>
      <c r="AB80" s="122"/>
      <c r="AC80" s="122"/>
      <c r="AD80" s="122"/>
      <c r="AE80" s="122"/>
      <c r="AF80" s="122"/>
      <c r="AG80" s="122"/>
      <c r="AH80" s="122"/>
      <c r="AI80" s="122"/>
      <c r="AJ80" s="122"/>
      <c r="AK80" s="122"/>
      <c r="AL80" s="122"/>
      <c r="AM80" s="122"/>
      <c r="AN80" s="122"/>
      <c r="AO80" s="122"/>
      <c r="AP80" s="122"/>
      <c r="AQ80" s="122"/>
      <c r="AR80" s="117"/>
      <c r="AS80" s="117"/>
      <c r="AT80" s="117"/>
      <c r="AU80" s="117"/>
      <c r="AV80" s="117"/>
      <c r="AW80" s="117"/>
      <c r="AX80" s="117"/>
      <c r="AY80" s="117"/>
      <c r="AZ80" s="117"/>
      <c r="BA80" s="117"/>
      <c r="BB80" s="117"/>
      <c r="BC80" s="117"/>
      <c r="BD80" s="117"/>
      <c r="BE80" s="117"/>
      <c r="BF80" s="117"/>
      <c r="BG80" s="117"/>
      <c r="BH80" s="117"/>
      <c r="BI80" s="117"/>
      <c r="BJ80" s="117"/>
      <c r="BK80" s="117"/>
      <c r="BL80" s="117"/>
      <c r="BM80" s="117"/>
      <c r="BN80" s="117"/>
      <c r="BO80" s="117"/>
      <c r="BP80" s="117"/>
      <c r="BQ80" s="117"/>
      <c r="BR80" s="117"/>
      <c r="BS80" s="117"/>
      <c r="BT80" s="117"/>
      <c r="BU80" s="117"/>
      <c r="BV80" s="117"/>
      <c r="BW80" s="117"/>
      <c r="BX80" s="117"/>
      <c r="BY80" s="117"/>
      <c r="BZ80" s="117"/>
      <c r="CA80" s="117"/>
      <c r="CB80" s="117"/>
      <c r="CC80" s="117"/>
      <c r="CD80" s="117"/>
      <c r="CE80" s="117"/>
      <c r="CF80" s="117"/>
      <c r="CG80" s="117"/>
      <c r="CH80" s="117"/>
      <c r="CI80" s="117"/>
      <c r="CJ80" s="117"/>
      <c r="CK80" s="117"/>
      <c r="CL80" s="117"/>
      <c r="CM80" s="117"/>
      <c r="CN80" s="117"/>
      <c r="CO80" s="117"/>
      <c r="CP80" s="117"/>
      <c r="CQ80" s="117"/>
      <c r="CR80" s="117"/>
      <c r="CS80" s="117"/>
      <c r="CT80" s="117"/>
      <c r="CU80" s="117"/>
      <c r="CV80" s="117"/>
      <c r="CW80" s="117"/>
      <c r="CX80" s="117"/>
      <c r="CY80" s="117"/>
      <c r="CZ80" s="117"/>
      <c r="DA80" s="117"/>
      <c r="DB80" s="117"/>
      <c r="DC80" s="117"/>
      <c r="DD80" s="117"/>
      <c r="DE80" s="117"/>
      <c r="DF80" s="117"/>
      <c r="DG80" s="117"/>
      <c r="DH80" s="117"/>
      <c r="DI80" s="117"/>
      <c r="DJ80" s="117"/>
      <c r="DK80" s="117"/>
      <c r="DL80" s="117"/>
      <c r="DM80" s="117"/>
    </row>
    <row r="81" spans="1:117" s="155" customFormat="1" ht="13.35" customHeight="1" x14ac:dyDescent="0.25">
      <c r="A81" s="117"/>
      <c r="B81" s="156"/>
      <c r="C81" s="188"/>
      <c r="D81" s="188"/>
      <c r="E81" s="173" t="s">
        <v>177</v>
      </c>
      <c r="F81" s="145"/>
      <c r="G81" s="166" t="s">
        <v>180</v>
      </c>
      <c r="H81" s="549">
        <f>Vragenlijst!E74</f>
        <v>0</v>
      </c>
      <c r="I81" s="165">
        <v>0.25</v>
      </c>
      <c r="J81" s="223">
        <f>Uurtarieven!$C$10</f>
        <v>160</v>
      </c>
      <c r="K81" s="380">
        <v>1</v>
      </c>
      <c r="L81" s="145"/>
      <c r="M81" s="361">
        <f>K81*J81*I81*H81</f>
        <v>0</v>
      </c>
      <c r="N81" s="359"/>
      <c r="O81" s="594">
        <f>H81*I81*K81</f>
        <v>0</v>
      </c>
      <c r="P81" s="360"/>
      <c r="Q81" s="122"/>
      <c r="R81" s="122"/>
      <c r="S81" s="122"/>
      <c r="T81" s="122"/>
      <c r="U81" s="122"/>
      <c r="V81" s="122"/>
      <c r="W81" s="122"/>
      <c r="X81" s="122"/>
      <c r="Y81" s="122"/>
      <c r="Z81" s="122"/>
      <c r="AA81" s="122"/>
      <c r="AB81" s="122"/>
      <c r="AC81" s="122"/>
      <c r="AD81" s="122"/>
      <c r="AE81" s="122"/>
      <c r="AF81" s="122"/>
      <c r="AG81" s="122"/>
      <c r="AH81" s="122"/>
      <c r="AI81" s="122"/>
      <c r="AJ81" s="122"/>
      <c r="AK81" s="122"/>
      <c r="AL81" s="122"/>
      <c r="AM81" s="122"/>
      <c r="AN81" s="122"/>
      <c r="AO81" s="122"/>
      <c r="AP81" s="122"/>
      <c r="AQ81" s="122"/>
      <c r="AR81" s="117"/>
      <c r="AS81" s="117"/>
      <c r="AT81" s="117"/>
      <c r="AU81" s="117"/>
      <c r="AV81" s="117"/>
      <c r="AW81" s="117"/>
      <c r="AX81" s="117"/>
      <c r="AY81" s="117"/>
      <c r="AZ81" s="117"/>
      <c r="BA81" s="117"/>
      <c r="BB81" s="117"/>
      <c r="BC81" s="117"/>
      <c r="BD81" s="117"/>
      <c r="BE81" s="117"/>
      <c r="BF81" s="117"/>
      <c r="BG81" s="117"/>
      <c r="BH81" s="117"/>
      <c r="BI81" s="117"/>
      <c r="BJ81" s="117"/>
      <c r="BK81" s="117"/>
      <c r="BL81" s="117"/>
      <c r="BM81" s="117"/>
      <c r="BN81" s="117"/>
      <c r="BO81" s="117"/>
      <c r="BP81" s="117"/>
      <c r="BQ81" s="117"/>
      <c r="BR81" s="117"/>
      <c r="BS81" s="117"/>
      <c r="BT81" s="117"/>
      <c r="BU81" s="117"/>
      <c r="BV81" s="117"/>
      <c r="BW81" s="117"/>
      <c r="BX81" s="117"/>
      <c r="BY81" s="117"/>
      <c r="BZ81" s="117"/>
      <c r="CA81" s="117"/>
      <c r="CB81" s="117"/>
      <c r="CC81" s="117"/>
      <c r="CD81" s="117"/>
      <c r="CE81" s="117"/>
      <c r="CF81" s="117"/>
      <c r="CG81" s="117"/>
      <c r="CH81" s="117"/>
      <c r="CI81" s="117"/>
      <c r="CJ81" s="117"/>
      <c r="CK81" s="117"/>
      <c r="CL81" s="117"/>
      <c r="CM81" s="117"/>
      <c r="CN81" s="117"/>
      <c r="CO81" s="117"/>
      <c r="CP81" s="117"/>
      <c r="CQ81" s="117"/>
      <c r="CR81" s="117"/>
      <c r="CS81" s="117"/>
      <c r="CT81" s="117"/>
      <c r="CU81" s="117"/>
      <c r="CV81" s="117"/>
      <c r="CW81" s="117"/>
      <c r="CX81" s="117"/>
      <c r="CY81" s="117"/>
      <c r="CZ81" s="117"/>
      <c r="DA81" s="117"/>
      <c r="DB81" s="117"/>
      <c r="DC81" s="117"/>
      <c r="DD81" s="117"/>
      <c r="DE81" s="117"/>
      <c r="DF81" s="117"/>
      <c r="DG81" s="117"/>
      <c r="DH81" s="117"/>
      <c r="DI81" s="117"/>
      <c r="DJ81" s="117"/>
      <c r="DK81" s="117"/>
      <c r="DL81" s="117"/>
      <c r="DM81" s="117"/>
    </row>
    <row r="82" spans="1:117" s="155" customFormat="1" ht="13.35" customHeight="1" x14ac:dyDescent="0.25">
      <c r="A82" s="117"/>
      <c r="B82" s="156"/>
      <c r="C82" s="188"/>
      <c r="D82" s="188"/>
      <c r="E82" s="173"/>
      <c r="F82" s="145"/>
      <c r="G82" s="166" t="s">
        <v>150</v>
      </c>
      <c r="H82" s="551">
        <v>0.05</v>
      </c>
      <c r="I82" s="168">
        <f>I80*H80+I81*H81</f>
        <v>0</v>
      </c>
      <c r="J82" s="224">
        <f>Uurtarieven!$C$11</f>
        <v>181</v>
      </c>
      <c r="K82" s="380">
        <v>1</v>
      </c>
      <c r="L82" s="145"/>
      <c r="M82" s="361">
        <f>K82*J82*I82*H82</f>
        <v>0</v>
      </c>
      <c r="N82" s="359"/>
      <c r="O82" s="594">
        <f>H82*I82*K82</f>
        <v>0</v>
      </c>
      <c r="P82" s="360"/>
      <c r="Q82" s="122"/>
      <c r="R82" s="122"/>
      <c r="S82" s="122"/>
      <c r="T82" s="122"/>
      <c r="U82" s="122"/>
      <c r="V82" s="122"/>
      <c r="W82" s="122"/>
      <c r="X82" s="122"/>
      <c r="Y82" s="122"/>
      <c r="Z82" s="122"/>
      <c r="AA82" s="122"/>
      <c r="AB82" s="122"/>
      <c r="AC82" s="122"/>
      <c r="AD82" s="122"/>
      <c r="AE82" s="122"/>
      <c r="AF82" s="122"/>
      <c r="AG82" s="122"/>
      <c r="AH82" s="122"/>
      <c r="AI82" s="122"/>
      <c r="AJ82" s="122"/>
      <c r="AK82" s="122"/>
      <c r="AL82" s="122"/>
      <c r="AM82" s="122"/>
      <c r="AN82" s="122"/>
      <c r="AO82" s="122"/>
      <c r="AP82" s="122"/>
      <c r="AQ82" s="122"/>
      <c r="AR82" s="117"/>
      <c r="AS82" s="117"/>
      <c r="AT82" s="117"/>
      <c r="AU82" s="117"/>
      <c r="AV82" s="117"/>
      <c r="AW82" s="117"/>
      <c r="AX82" s="117"/>
      <c r="AY82" s="117"/>
      <c r="AZ82" s="117"/>
      <c r="BA82" s="117"/>
      <c r="BB82" s="117"/>
      <c r="BC82" s="117"/>
      <c r="BD82" s="117"/>
      <c r="BE82" s="117"/>
      <c r="BF82" s="117"/>
      <c r="BG82" s="117"/>
      <c r="BH82" s="117"/>
      <c r="BI82" s="117"/>
      <c r="BJ82" s="117"/>
      <c r="BK82" s="117"/>
      <c r="BL82" s="117"/>
      <c r="BM82" s="117"/>
      <c r="BN82" s="117"/>
      <c r="BO82" s="117"/>
      <c r="BP82" s="117"/>
      <c r="BQ82" s="117"/>
      <c r="BR82" s="117"/>
      <c r="BS82" s="117"/>
      <c r="BT82" s="117"/>
      <c r="BU82" s="117"/>
      <c r="BV82" s="117"/>
      <c r="BW82" s="117"/>
      <c r="BX82" s="117"/>
      <c r="BY82" s="117"/>
      <c r="BZ82" s="117"/>
      <c r="CA82" s="117"/>
      <c r="CB82" s="117"/>
      <c r="CC82" s="117"/>
      <c r="CD82" s="117"/>
      <c r="CE82" s="117"/>
      <c r="CF82" s="117"/>
      <c r="CG82" s="117"/>
      <c r="CH82" s="117"/>
      <c r="CI82" s="117"/>
      <c r="CJ82" s="117"/>
      <c r="CK82" s="117"/>
      <c r="CL82" s="117"/>
      <c r="CM82" s="117"/>
      <c r="CN82" s="117"/>
      <c r="CO82" s="117"/>
      <c r="CP82" s="117"/>
      <c r="CQ82" s="117"/>
      <c r="CR82" s="117"/>
      <c r="CS82" s="117"/>
      <c r="CT82" s="117"/>
      <c r="CU82" s="117"/>
      <c r="CV82" s="117"/>
      <c r="CW82" s="117"/>
      <c r="CX82" s="117"/>
      <c r="CY82" s="117"/>
      <c r="CZ82" s="117"/>
      <c r="DA82" s="117"/>
      <c r="DB82" s="117"/>
      <c r="DC82" s="117"/>
      <c r="DD82" s="117"/>
      <c r="DE82" s="117"/>
      <c r="DF82" s="117"/>
      <c r="DG82" s="117"/>
      <c r="DH82" s="117"/>
      <c r="DI82" s="117"/>
      <c r="DJ82" s="117"/>
      <c r="DK82" s="117"/>
      <c r="DL82" s="117"/>
      <c r="DM82" s="117"/>
    </row>
    <row r="83" spans="1:117" s="155" customFormat="1" x14ac:dyDescent="0.25">
      <c r="A83" s="117"/>
      <c r="B83" s="161"/>
      <c r="C83" s="162"/>
      <c r="D83" s="162"/>
      <c r="E83" s="173"/>
      <c r="F83" s="145"/>
      <c r="G83" s="166" t="s">
        <v>151</v>
      </c>
      <c r="H83" s="551">
        <v>0.01</v>
      </c>
      <c r="I83" s="165">
        <f>I80*H80+I81*H81</f>
        <v>0</v>
      </c>
      <c r="J83" s="223">
        <f>Uurtarieven!$C$8</f>
        <v>126</v>
      </c>
      <c r="K83" s="380">
        <v>1</v>
      </c>
      <c r="L83" s="167"/>
      <c r="M83" s="361">
        <f>K83*J83*I83*H83</f>
        <v>0</v>
      </c>
      <c r="N83" s="362"/>
      <c r="O83" s="594">
        <f>H83*I83*K83</f>
        <v>0</v>
      </c>
      <c r="P83" s="363"/>
      <c r="Q83" s="122"/>
      <c r="R83" s="122"/>
      <c r="S83" s="122"/>
      <c r="T83" s="122"/>
      <c r="U83" s="122"/>
      <c r="V83" s="122"/>
      <c r="W83" s="122"/>
      <c r="X83" s="122"/>
      <c r="Y83" s="122"/>
      <c r="Z83" s="122"/>
      <c r="AA83" s="122"/>
      <c r="AB83" s="122"/>
      <c r="AC83" s="122"/>
      <c r="AD83" s="122"/>
      <c r="AE83" s="122"/>
      <c r="AF83" s="122"/>
      <c r="AG83" s="122"/>
      <c r="AH83" s="122"/>
      <c r="AI83" s="122"/>
      <c r="AJ83" s="122"/>
      <c r="AK83" s="122"/>
      <c r="AL83" s="122"/>
      <c r="AM83" s="122"/>
      <c r="AN83" s="122"/>
      <c r="AO83" s="122"/>
      <c r="AP83" s="122"/>
      <c r="AQ83" s="122"/>
      <c r="AR83" s="117"/>
      <c r="AS83" s="117"/>
      <c r="AT83" s="117"/>
      <c r="AU83" s="117"/>
      <c r="AV83" s="117"/>
      <c r="AW83" s="117"/>
      <c r="AX83" s="117"/>
      <c r="AY83" s="117"/>
      <c r="AZ83" s="117"/>
      <c r="BA83" s="117"/>
      <c r="BB83" s="117"/>
      <c r="BC83" s="117"/>
      <c r="BD83" s="117"/>
      <c r="BE83" s="117"/>
      <c r="BF83" s="117"/>
      <c r="BG83" s="117"/>
      <c r="BH83" s="117"/>
      <c r="BI83" s="117"/>
      <c r="BJ83" s="117"/>
      <c r="BK83" s="117"/>
      <c r="BL83" s="117"/>
      <c r="BM83" s="117"/>
      <c r="BN83" s="117"/>
      <c r="BO83" s="117"/>
      <c r="BP83" s="117"/>
      <c r="BQ83" s="117"/>
      <c r="BR83" s="117"/>
      <c r="BS83" s="117"/>
      <c r="BT83" s="117"/>
      <c r="BU83" s="117"/>
      <c r="BV83" s="117"/>
      <c r="BW83" s="117"/>
      <c r="BX83" s="117"/>
      <c r="BY83" s="117"/>
      <c r="BZ83" s="117"/>
      <c r="CA83" s="117"/>
      <c r="CB83" s="117"/>
      <c r="CC83" s="117"/>
      <c r="CD83" s="117"/>
      <c r="CE83" s="117"/>
      <c r="CF83" s="117"/>
      <c r="CG83" s="117"/>
      <c r="CH83" s="117"/>
      <c r="CI83" s="117"/>
      <c r="CJ83" s="117"/>
      <c r="CK83" s="117"/>
      <c r="CL83" s="117"/>
      <c r="CM83" s="117"/>
      <c r="CN83" s="117"/>
      <c r="CO83" s="117"/>
      <c r="CP83" s="117"/>
      <c r="CQ83" s="117"/>
      <c r="CR83" s="117"/>
      <c r="CS83" s="117"/>
      <c r="CT83" s="117"/>
      <c r="CU83" s="117"/>
      <c r="CV83" s="117"/>
      <c r="CW83" s="117"/>
      <c r="CX83" s="117"/>
      <c r="CY83" s="117"/>
      <c r="CZ83" s="117"/>
      <c r="DA83" s="117"/>
      <c r="DB83" s="117"/>
      <c r="DC83" s="117"/>
      <c r="DD83" s="117"/>
      <c r="DE83" s="117"/>
      <c r="DF83" s="117"/>
      <c r="DG83" s="117"/>
      <c r="DH83" s="117"/>
      <c r="DI83" s="117"/>
      <c r="DJ83" s="117"/>
      <c r="DK83" s="117"/>
      <c r="DL83" s="117"/>
      <c r="DM83" s="117"/>
    </row>
    <row r="84" spans="1:117" s="155" customFormat="1" x14ac:dyDescent="0.25">
      <c r="A84" s="117"/>
      <c r="B84" s="161"/>
      <c r="C84" s="162"/>
      <c r="D84" s="162"/>
      <c r="E84" s="173"/>
      <c r="F84" s="145"/>
      <c r="G84" s="166"/>
      <c r="H84" s="551"/>
      <c r="I84" s="165"/>
      <c r="J84" s="226"/>
      <c r="K84" s="380"/>
      <c r="L84" s="167"/>
      <c r="M84" s="361"/>
      <c r="N84" s="364">
        <f>SUM(M80:M83)</f>
        <v>0</v>
      </c>
      <c r="O84" s="595"/>
      <c r="P84" s="372">
        <f>SUM(O80:O83)</f>
        <v>0</v>
      </c>
      <c r="Q84" s="122"/>
      <c r="R84" s="122"/>
      <c r="S84" s="122"/>
      <c r="T84" s="122"/>
      <c r="U84" s="122"/>
      <c r="V84" s="122"/>
      <c r="W84" s="122"/>
      <c r="X84" s="122"/>
      <c r="Y84" s="122"/>
      <c r="Z84" s="122"/>
      <c r="AA84" s="122"/>
      <c r="AB84" s="122"/>
      <c r="AC84" s="122"/>
      <c r="AD84" s="122"/>
      <c r="AE84" s="122"/>
      <c r="AF84" s="122"/>
      <c r="AG84" s="122"/>
      <c r="AH84" s="122"/>
      <c r="AI84" s="122"/>
      <c r="AJ84" s="122"/>
      <c r="AK84" s="122"/>
      <c r="AL84" s="122"/>
      <c r="AM84" s="122"/>
      <c r="AN84" s="122"/>
      <c r="AO84" s="122"/>
      <c r="AP84" s="122"/>
      <c r="AQ84" s="122"/>
      <c r="AR84" s="117"/>
      <c r="AS84" s="117"/>
      <c r="AT84" s="117"/>
      <c r="AU84" s="117"/>
      <c r="AV84" s="117"/>
      <c r="AW84" s="117"/>
      <c r="AX84" s="117"/>
      <c r="AY84" s="117"/>
      <c r="AZ84" s="117"/>
      <c r="BA84" s="117"/>
      <c r="BB84" s="117"/>
      <c r="BC84" s="117"/>
      <c r="BD84" s="117"/>
      <c r="BE84" s="117"/>
      <c r="BF84" s="117"/>
      <c r="BG84" s="117"/>
      <c r="BH84" s="117"/>
      <c r="BI84" s="117"/>
      <c r="BJ84" s="117"/>
      <c r="BK84" s="117"/>
      <c r="BL84" s="117"/>
      <c r="BM84" s="117"/>
      <c r="BN84" s="117"/>
      <c r="BO84" s="117"/>
      <c r="BP84" s="117"/>
      <c r="BQ84" s="117"/>
      <c r="BR84" s="117"/>
      <c r="BS84" s="117"/>
      <c r="BT84" s="117"/>
      <c r="BU84" s="117"/>
      <c r="BV84" s="117"/>
      <c r="BW84" s="117"/>
      <c r="BX84" s="117"/>
      <c r="BY84" s="117"/>
      <c r="BZ84" s="117"/>
      <c r="CA84" s="117"/>
      <c r="CB84" s="117"/>
      <c r="CC84" s="117"/>
      <c r="CD84" s="117"/>
      <c r="CE84" s="117"/>
      <c r="CF84" s="117"/>
      <c r="CG84" s="117"/>
      <c r="CH84" s="117"/>
      <c r="CI84" s="117"/>
      <c r="CJ84" s="117"/>
      <c r="CK84" s="117"/>
      <c r="CL84" s="117"/>
      <c r="CM84" s="117"/>
      <c r="CN84" s="117"/>
      <c r="CO84" s="117"/>
      <c r="CP84" s="117"/>
      <c r="CQ84" s="117"/>
      <c r="CR84" s="117"/>
      <c r="CS84" s="117"/>
      <c r="CT84" s="117"/>
      <c r="CU84" s="117"/>
      <c r="CV84" s="117"/>
      <c r="CW84" s="117"/>
      <c r="CX84" s="117"/>
      <c r="CY84" s="117"/>
      <c r="CZ84" s="117"/>
      <c r="DA84" s="117"/>
      <c r="DB84" s="117"/>
      <c r="DC84" s="117"/>
      <c r="DD84" s="117"/>
      <c r="DE84" s="117"/>
      <c r="DF84" s="117"/>
      <c r="DG84" s="117"/>
      <c r="DH84" s="117"/>
      <c r="DI84" s="117"/>
      <c r="DJ84" s="117"/>
      <c r="DK84" s="117"/>
      <c r="DL84" s="117"/>
      <c r="DM84" s="117"/>
    </row>
    <row r="85" spans="1:117" s="155" customFormat="1" ht="13.35" customHeight="1" x14ac:dyDescent="0.25">
      <c r="A85" s="117"/>
      <c r="B85" s="156"/>
      <c r="C85" s="188"/>
      <c r="D85" s="188"/>
      <c r="E85" s="173"/>
      <c r="F85" s="145"/>
      <c r="G85" s="151"/>
      <c r="H85" s="548"/>
      <c r="I85" s="168"/>
      <c r="J85" s="223"/>
      <c r="K85" s="380"/>
      <c r="L85" s="145"/>
      <c r="M85" s="361"/>
      <c r="O85" s="590"/>
      <c r="P85" s="360"/>
      <c r="Q85" s="122"/>
      <c r="R85" s="122"/>
      <c r="S85" s="122"/>
      <c r="T85" s="122"/>
      <c r="U85" s="122"/>
      <c r="V85" s="122"/>
      <c r="W85" s="122"/>
      <c r="X85" s="122"/>
      <c r="Y85" s="122"/>
      <c r="Z85" s="122"/>
      <c r="AA85" s="122"/>
      <c r="AB85" s="122"/>
      <c r="AC85" s="122"/>
      <c r="AD85" s="122"/>
      <c r="AE85" s="122"/>
      <c r="AF85" s="122"/>
      <c r="AG85" s="122"/>
      <c r="AH85" s="122"/>
      <c r="AI85" s="122"/>
      <c r="AJ85" s="122"/>
      <c r="AK85" s="122"/>
      <c r="AL85" s="122"/>
      <c r="AM85" s="122"/>
      <c r="AN85" s="122"/>
      <c r="AO85" s="122"/>
      <c r="AP85" s="122"/>
      <c r="AQ85" s="122"/>
      <c r="AR85" s="117"/>
      <c r="AS85" s="117"/>
      <c r="AT85" s="117"/>
      <c r="AU85" s="117"/>
      <c r="AV85" s="117"/>
      <c r="AW85" s="117"/>
      <c r="AX85" s="117"/>
      <c r="AY85" s="117"/>
      <c r="AZ85" s="117"/>
      <c r="BA85" s="117"/>
      <c r="BB85" s="117"/>
      <c r="BC85" s="117"/>
      <c r="BD85" s="117"/>
      <c r="BE85" s="117"/>
      <c r="BF85" s="117"/>
      <c r="BG85" s="117"/>
      <c r="BH85" s="117"/>
      <c r="BI85" s="117"/>
      <c r="BJ85" s="117"/>
      <c r="BK85" s="117"/>
      <c r="BL85" s="117"/>
      <c r="BM85" s="117"/>
      <c r="BN85" s="117"/>
      <c r="BO85" s="117"/>
      <c r="BP85" s="117"/>
      <c r="BQ85" s="117"/>
      <c r="BR85" s="117"/>
      <c r="BS85" s="117"/>
      <c r="BT85" s="117"/>
      <c r="BU85" s="117"/>
      <c r="BV85" s="117"/>
      <c r="BW85" s="117"/>
      <c r="BX85" s="117"/>
      <c r="BY85" s="117"/>
      <c r="BZ85" s="117"/>
      <c r="CA85" s="117"/>
      <c r="CB85" s="117"/>
      <c r="CC85" s="117"/>
      <c r="CD85" s="117"/>
      <c r="CE85" s="117"/>
      <c r="CF85" s="117"/>
      <c r="CG85" s="117"/>
      <c r="CH85" s="117"/>
      <c r="CI85" s="117"/>
      <c r="CJ85" s="117"/>
      <c r="CK85" s="117"/>
      <c r="CL85" s="117"/>
      <c r="CM85" s="117"/>
      <c r="CN85" s="117"/>
      <c r="CO85" s="117"/>
      <c r="CP85" s="117"/>
      <c r="CQ85" s="117"/>
      <c r="CR85" s="117"/>
      <c r="CS85" s="117"/>
      <c r="CT85" s="117"/>
      <c r="CU85" s="117"/>
      <c r="CV85" s="117"/>
      <c r="CW85" s="117"/>
      <c r="CX85" s="117"/>
      <c r="CY85" s="117"/>
      <c r="CZ85" s="117"/>
      <c r="DA85" s="117"/>
      <c r="DB85" s="117"/>
      <c r="DC85" s="117"/>
      <c r="DD85" s="117"/>
      <c r="DE85" s="117"/>
      <c r="DF85" s="117"/>
      <c r="DG85" s="117"/>
      <c r="DH85" s="117"/>
      <c r="DI85" s="117"/>
      <c r="DJ85" s="117"/>
      <c r="DK85" s="117"/>
      <c r="DL85" s="117"/>
      <c r="DM85" s="117"/>
    </row>
    <row r="86" spans="1:117" s="155" customFormat="1" ht="13.35" customHeight="1" x14ac:dyDescent="0.25">
      <c r="A86" s="117"/>
      <c r="B86" s="156"/>
      <c r="C86" s="188"/>
      <c r="D86" s="188"/>
      <c r="E86" s="173" t="s">
        <v>181</v>
      </c>
      <c r="F86" s="145"/>
      <c r="G86" s="166" t="s">
        <v>176</v>
      </c>
      <c r="H86" s="549">
        <f>+IF(Vragenlijst!E21&lt;=5,0,(IF(Vragenlijst!E21&lt;=10,1,(IF(Vragenlijst!E21&lt;=15,2,(IF(Vragenlijst!E21&lt;=20,3,(IF(Vragenlijst!E21&lt;=25,4,(IF(Vragenlijst!E21&lt;=30,5,(IF(Vragenlijst!E21&lt;=35,6,(IF(Vragenlijst!E21&lt;=40,7,IF(Vragenlijst!E21&lt;=45,8,(IF(Vragenlijst!E21&lt;=50,9,(IF(Vragenlijst!E21&lt;=55,10,IF(Vragenlijst!E21&lt;=60,11,12)))))))))))))))))))))</f>
        <v>0</v>
      </c>
      <c r="I86" s="568">
        <f>N78+N84</f>
        <v>0</v>
      </c>
      <c r="J86" s="223"/>
      <c r="K86" s="380">
        <v>1</v>
      </c>
      <c r="L86" s="145"/>
      <c r="M86" s="426">
        <f>I86*H86*K86</f>
        <v>0</v>
      </c>
      <c r="N86" s="432"/>
      <c r="O86" s="427">
        <f>(+P78+P84)*H86</f>
        <v>0</v>
      </c>
      <c r="P86" s="430"/>
      <c r="Q86" s="122"/>
      <c r="R86" s="122"/>
      <c r="S86" s="122"/>
      <c r="T86" s="122"/>
      <c r="U86" s="122"/>
      <c r="V86" s="122"/>
      <c r="W86" s="122"/>
      <c r="X86" s="122"/>
      <c r="Y86" s="122"/>
      <c r="Z86" s="122"/>
      <c r="AA86" s="122"/>
      <c r="AB86" s="122"/>
      <c r="AC86" s="122"/>
      <c r="AD86" s="122"/>
      <c r="AE86" s="122"/>
      <c r="AF86" s="122"/>
      <c r="AG86" s="122"/>
      <c r="AH86" s="122"/>
      <c r="AI86" s="122"/>
      <c r="AJ86" s="122"/>
      <c r="AK86" s="122"/>
      <c r="AL86" s="122"/>
      <c r="AM86" s="122"/>
      <c r="AN86" s="122"/>
      <c r="AO86" s="122"/>
      <c r="AP86" s="122"/>
      <c r="AQ86" s="122"/>
      <c r="AR86" s="117"/>
      <c r="AS86" s="117"/>
      <c r="AT86" s="117"/>
      <c r="AU86" s="117"/>
      <c r="AV86" s="117"/>
      <c r="AW86" s="117"/>
      <c r="AX86" s="117"/>
      <c r="AY86" s="117"/>
      <c r="AZ86" s="117"/>
      <c r="BA86" s="117"/>
      <c r="BB86" s="117"/>
      <c r="BC86" s="117"/>
      <c r="BD86" s="117"/>
      <c r="BE86" s="117"/>
      <c r="BF86" s="117"/>
      <c r="BG86" s="117"/>
      <c r="BH86" s="117"/>
      <c r="BI86" s="117"/>
      <c r="BJ86" s="117"/>
      <c r="BK86" s="117"/>
      <c r="BL86" s="117"/>
      <c r="BM86" s="117"/>
      <c r="BN86" s="117"/>
      <c r="BO86" s="117"/>
      <c r="BP86" s="117"/>
      <c r="BQ86" s="117"/>
      <c r="BR86" s="117"/>
      <c r="BS86" s="117"/>
      <c r="BT86" s="117"/>
      <c r="BU86" s="117"/>
      <c r="BV86" s="117"/>
      <c r="BW86" s="117"/>
      <c r="BX86" s="117"/>
      <c r="BY86" s="117"/>
      <c r="BZ86" s="117"/>
      <c r="CA86" s="117"/>
      <c r="CB86" s="117"/>
      <c r="CC86" s="117"/>
      <c r="CD86" s="117"/>
      <c r="CE86" s="117"/>
      <c r="CF86" s="117"/>
      <c r="CG86" s="117"/>
      <c r="CH86" s="117"/>
      <c r="CI86" s="117"/>
      <c r="CJ86" s="117"/>
      <c r="CK86" s="117"/>
      <c r="CL86" s="117"/>
      <c r="CM86" s="117"/>
      <c r="CN86" s="117"/>
      <c r="CO86" s="117"/>
      <c r="CP86" s="117"/>
      <c r="CQ86" s="117"/>
      <c r="CR86" s="117"/>
      <c r="CS86" s="117"/>
      <c r="CT86" s="117"/>
      <c r="CU86" s="117"/>
      <c r="CV86" s="117"/>
      <c r="CW86" s="117"/>
      <c r="CX86" s="117"/>
      <c r="CY86" s="117"/>
      <c r="CZ86" s="117"/>
      <c r="DA86" s="117"/>
      <c r="DB86" s="117"/>
      <c r="DC86" s="117"/>
      <c r="DD86" s="117"/>
      <c r="DE86" s="117"/>
      <c r="DF86" s="117"/>
      <c r="DG86" s="117"/>
      <c r="DH86" s="117"/>
      <c r="DI86" s="117"/>
      <c r="DJ86" s="117"/>
      <c r="DK86" s="117"/>
      <c r="DL86" s="117"/>
      <c r="DM86" s="117"/>
    </row>
    <row r="87" spans="1:117" s="155" customFormat="1" x14ac:dyDescent="0.25">
      <c r="A87" s="117"/>
      <c r="B87" s="161"/>
      <c r="C87" s="162"/>
      <c r="D87" s="162"/>
      <c r="E87" s="173"/>
      <c r="F87" s="145"/>
      <c r="G87" s="151"/>
      <c r="H87" s="552"/>
      <c r="I87" s="168"/>
      <c r="J87" s="226"/>
      <c r="K87" s="380"/>
      <c r="L87" s="167"/>
      <c r="M87" s="361"/>
      <c r="N87" s="364">
        <f>+M86</f>
        <v>0</v>
      </c>
      <c r="O87" s="590"/>
      <c r="P87" s="366">
        <f>+O86+O87</f>
        <v>0</v>
      </c>
      <c r="Q87" s="122"/>
      <c r="R87" s="122"/>
      <c r="S87" s="122"/>
      <c r="T87" s="122"/>
      <c r="U87" s="122"/>
      <c r="V87" s="122"/>
      <c r="W87" s="122"/>
      <c r="X87" s="122"/>
      <c r="Y87" s="122"/>
      <c r="Z87" s="122"/>
      <c r="AA87" s="122"/>
      <c r="AB87" s="122"/>
      <c r="AC87" s="122"/>
      <c r="AD87" s="122"/>
      <c r="AE87" s="122"/>
      <c r="AF87" s="122"/>
      <c r="AG87" s="122"/>
      <c r="AH87" s="122"/>
      <c r="AI87" s="122"/>
      <c r="AJ87" s="122"/>
      <c r="AK87" s="122"/>
      <c r="AL87" s="122"/>
      <c r="AM87" s="122"/>
      <c r="AN87" s="122"/>
      <c r="AO87" s="122"/>
      <c r="AP87" s="122"/>
      <c r="AQ87" s="122"/>
      <c r="AR87" s="117"/>
      <c r="AS87" s="117"/>
      <c r="AT87" s="117"/>
      <c r="AU87" s="117"/>
      <c r="AV87" s="117"/>
      <c r="AW87" s="117"/>
      <c r="AX87" s="117"/>
      <c r="AY87" s="117"/>
      <c r="AZ87" s="117"/>
      <c r="BA87" s="117"/>
      <c r="BB87" s="117"/>
      <c r="BC87" s="117"/>
      <c r="BD87" s="117"/>
      <c r="BE87" s="117"/>
      <c r="BF87" s="117"/>
      <c r="BG87" s="117"/>
      <c r="BH87" s="117"/>
      <c r="BI87" s="117"/>
      <c r="BJ87" s="117"/>
      <c r="BK87" s="117"/>
      <c r="BL87" s="117"/>
      <c r="BM87" s="117"/>
      <c r="BN87" s="117"/>
      <c r="BO87" s="117"/>
      <c r="BP87" s="117"/>
      <c r="BQ87" s="117"/>
      <c r="BR87" s="117"/>
      <c r="BS87" s="117"/>
      <c r="BT87" s="117"/>
      <c r="BU87" s="117"/>
      <c r="BV87" s="117"/>
      <c r="BW87" s="117"/>
      <c r="BX87" s="117"/>
      <c r="BY87" s="117"/>
      <c r="BZ87" s="117"/>
      <c r="CA87" s="117"/>
      <c r="CB87" s="117"/>
      <c r="CC87" s="117"/>
      <c r="CD87" s="117"/>
      <c r="CE87" s="117"/>
      <c r="CF87" s="117"/>
      <c r="CG87" s="117"/>
      <c r="CH87" s="117"/>
      <c r="CI87" s="117"/>
      <c r="CJ87" s="117"/>
      <c r="CK87" s="117"/>
      <c r="CL87" s="117"/>
      <c r="CM87" s="117"/>
      <c r="CN87" s="117"/>
      <c r="CO87" s="117"/>
      <c r="CP87" s="117"/>
      <c r="CQ87" s="117"/>
      <c r="CR87" s="117"/>
      <c r="CS87" s="117"/>
      <c r="CT87" s="117"/>
      <c r="CU87" s="117"/>
      <c r="CV87" s="117"/>
      <c r="CW87" s="117"/>
      <c r="CX87" s="117"/>
      <c r="CY87" s="117"/>
      <c r="CZ87" s="117"/>
      <c r="DA87" s="117"/>
      <c r="DB87" s="117"/>
      <c r="DC87" s="117"/>
      <c r="DD87" s="117"/>
      <c r="DE87" s="117"/>
      <c r="DF87" s="117"/>
      <c r="DG87" s="117"/>
      <c r="DH87" s="117"/>
      <c r="DI87" s="117"/>
      <c r="DJ87" s="117"/>
      <c r="DK87" s="117"/>
      <c r="DL87" s="117"/>
      <c r="DM87" s="117"/>
    </row>
    <row r="88" spans="1:117" s="155" customFormat="1" ht="13.35" customHeight="1" x14ac:dyDescent="0.25">
      <c r="A88" s="117"/>
      <c r="B88" s="161"/>
      <c r="C88" s="162"/>
      <c r="D88" s="162"/>
      <c r="E88" s="187"/>
      <c r="F88" s="145"/>
      <c r="G88" s="151"/>
      <c r="H88" s="552"/>
      <c r="I88" s="152"/>
      <c r="J88" s="222"/>
      <c r="K88" s="380"/>
      <c r="L88" s="145"/>
      <c r="M88" s="358"/>
      <c r="N88" s="359"/>
      <c r="O88" s="589"/>
      <c r="P88" s="360"/>
      <c r="Q88" s="122"/>
      <c r="R88" s="122"/>
      <c r="S88" s="122"/>
      <c r="T88" s="122"/>
      <c r="U88" s="122"/>
      <c r="V88" s="122"/>
      <c r="W88" s="122"/>
      <c r="X88" s="122"/>
      <c r="Y88" s="122"/>
      <c r="Z88" s="122"/>
      <c r="AA88" s="122"/>
      <c r="AB88" s="122"/>
      <c r="AC88" s="122"/>
      <c r="AD88" s="122"/>
      <c r="AE88" s="122"/>
      <c r="AF88" s="122"/>
      <c r="AG88" s="122"/>
      <c r="AH88" s="122"/>
      <c r="AI88" s="122"/>
      <c r="AJ88" s="122"/>
      <c r="AK88" s="122"/>
      <c r="AL88" s="122"/>
      <c r="AM88" s="122"/>
      <c r="AN88" s="122"/>
      <c r="AO88" s="122"/>
      <c r="AP88" s="122"/>
      <c r="AQ88" s="122"/>
      <c r="AR88" s="117"/>
      <c r="AS88" s="117"/>
      <c r="AT88" s="117"/>
      <c r="AU88" s="117"/>
      <c r="AV88" s="117"/>
      <c r="AW88" s="117"/>
      <c r="AX88" s="117"/>
      <c r="AY88" s="117"/>
      <c r="AZ88" s="117"/>
      <c r="BA88" s="117"/>
      <c r="BB88" s="117"/>
      <c r="BC88" s="117"/>
      <c r="BD88" s="117"/>
      <c r="BE88" s="117"/>
      <c r="BF88" s="117"/>
      <c r="BG88" s="117"/>
      <c r="BH88" s="117"/>
      <c r="BI88" s="117"/>
      <c r="BJ88" s="117"/>
      <c r="BK88" s="117"/>
      <c r="BL88" s="117"/>
      <c r="BM88" s="117"/>
      <c r="BN88" s="117"/>
      <c r="BO88" s="117"/>
      <c r="BP88" s="117"/>
      <c r="BQ88" s="117"/>
      <c r="BR88" s="117"/>
      <c r="BS88" s="117"/>
      <c r="BT88" s="117"/>
      <c r="BU88" s="117"/>
      <c r="BV88" s="117"/>
      <c r="BW88" s="117"/>
      <c r="BX88" s="117"/>
      <c r="BY88" s="117"/>
      <c r="BZ88" s="117"/>
      <c r="CA88" s="117"/>
      <c r="CB88" s="117"/>
      <c r="CC88" s="117"/>
      <c r="CD88" s="117"/>
      <c r="CE88" s="117"/>
      <c r="CF88" s="117"/>
      <c r="CG88" s="117"/>
      <c r="CH88" s="117"/>
      <c r="CI88" s="117"/>
      <c r="CJ88" s="117"/>
      <c r="CK88" s="117"/>
      <c r="CL88" s="117"/>
      <c r="CM88" s="117"/>
      <c r="CN88" s="117"/>
      <c r="CO88" s="117"/>
      <c r="CP88" s="117"/>
      <c r="CQ88" s="117"/>
      <c r="CR88" s="117"/>
      <c r="CS88" s="117"/>
      <c r="CT88" s="117"/>
      <c r="CU88" s="117"/>
      <c r="CV88" s="117"/>
      <c r="CW88" s="117"/>
      <c r="CX88" s="117"/>
      <c r="CY88" s="117"/>
      <c r="CZ88" s="117"/>
      <c r="DA88" s="117"/>
      <c r="DB88" s="117"/>
      <c r="DC88" s="117"/>
      <c r="DD88" s="117"/>
      <c r="DE88" s="117"/>
      <c r="DF88" s="117"/>
      <c r="DG88" s="117"/>
      <c r="DH88" s="117"/>
      <c r="DI88" s="117"/>
      <c r="DJ88" s="117"/>
      <c r="DK88" s="117"/>
      <c r="DL88" s="117"/>
      <c r="DM88" s="117"/>
    </row>
    <row r="89" spans="1:117" ht="15" customHeight="1" x14ac:dyDescent="0.25">
      <c r="B89" s="156" t="s">
        <v>172</v>
      </c>
      <c r="C89" s="179" t="s">
        <v>182</v>
      </c>
      <c r="D89" s="179"/>
      <c r="E89" s="163"/>
      <c r="F89" s="122"/>
      <c r="G89" s="151"/>
      <c r="H89" s="552"/>
      <c r="I89" s="153"/>
      <c r="J89" s="227"/>
      <c r="K89" s="380"/>
      <c r="L89" s="190"/>
      <c r="M89" s="361"/>
      <c r="O89" s="590"/>
      <c r="P89" s="365"/>
    </row>
    <row r="90" spans="1:117" ht="13.35" customHeight="1" x14ac:dyDescent="0.25">
      <c r="B90" s="177"/>
      <c r="C90" s="565" t="s">
        <v>174</v>
      </c>
      <c r="D90" s="565"/>
      <c r="E90" s="170" t="s">
        <v>183</v>
      </c>
      <c r="F90" s="122"/>
      <c r="G90" s="166" t="s">
        <v>184</v>
      </c>
      <c r="H90" s="549">
        <f>Vragenlijst!E77</f>
        <v>0</v>
      </c>
      <c r="I90" s="168">
        <v>24</v>
      </c>
      <c r="J90" s="223">
        <f>Uurtarieven!$C$7</f>
        <v>160</v>
      </c>
      <c r="K90" s="380">
        <v>1</v>
      </c>
      <c r="L90" s="190"/>
      <c r="M90" s="361">
        <f t="shared" ref="M90:M99" si="9">K90*J90*I90*H90</f>
        <v>0</v>
      </c>
      <c r="N90" s="362"/>
      <c r="O90" s="590">
        <f t="shared" ref="O90:O99" si="10">H90*I90*K90</f>
        <v>0</v>
      </c>
      <c r="P90" s="365"/>
    </row>
    <row r="91" spans="1:117" x14ac:dyDescent="0.25">
      <c r="B91" s="177"/>
      <c r="C91" s="191"/>
      <c r="D91" s="191"/>
      <c r="E91" s="170" t="s">
        <v>185</v>
      </c>
      <c r="F91" s="122"/>
      <c r="G91" s="166" t="s">
        <v>184</v>
      </c>
      <c r="H91" s="549">
        <f>Vragenlijst!E78</f>
        <v>0</v>
      </c>
      <c r="I91" s="168">
        <v>48</v>
      </c>
      <c r="J91" s="223">
        <f>Uurtarieven!$C$7</f>
        <v>160</v>
      </c>
      <c r="K91" s="380">
        <v>1</v>
      </c>
      <c r="L91" s="190"/>
      <c r="M91" s="361">
        <f t="shared" si="9"/>
        <v>0</v>
      </c>
      <c r="N91" s="362"/>
      <c r="O91" s="590">
        <f t="shared" si="10"/>
        <v>0</v>
      </c>
      <c r="P91" s="365"/>
    </row>
    <row r="92" spans="1:117" x14ac:dyDescent="0.25">
      <c r="B92" s="177"/>
      <c r="C92" s="191"/>
      <c r="D92" s="191"/>
      <c r="E92" s="192" t="s">
        <v>186</v>
      </c>
      <c r="F92" s="122"/>
      <c r="G92" s="166" t="s">
        <v>184</v>
      </c>
      <c r="H92" s="549">
        <f>IF(OR(Vragenlijst!E34='Drop Down '!B29,Vragenlijst!E34='Drop Down '!B30,Vragenlijst!E34='Drop Down '!B31,Vragenlijst!E34='Drop Down '!B32),0,Vragenlijst!E79)</f>
        <v>0</v>
      </c>
      <c r="I92" s="168">
        <v>80</v>
      </c>
      <c r="J92" s="223">
        <f>Uurtarieven!$C$7</f>
        <v>160</v>
      </c>
      <c r="K92" s="380">
        <v>1</v>
      </c>
      <c r="L92" s="190"/>
      <c r="M92" s="361">
        <f t="shared" si="9"/>
        <v>0</v>
      </c>
      <c r="N92" s="362"/>
      <c r="O92" s="590">
        <f t="shared" si="10"/>
        <v>0</v>
      </c>
      <c r="P92" s="365"/>
    </row>
    <row r="93" spans="1:117" ht="26.4" x14ac:dyDescent="0.25">
      <c r="B93" s="177"/>
      <c r="C93" s="191"/>
      <c r="D93" s="191"/>
      <c r="E93" s="192" t="s">
        <v>187</v>
      </c>
      <c r="F93" s="122"/>
      <c r="G93" s="166" t="s">
        <v>184</v>
      </c>
      <c r="H93" s="549">
        <f>IF(OR(Vragenlijst!E34='Drop Down '!B29,Vragenlijst!E34='Drop Down '!B30,Vragenlijst!E34='Drop Down '!B31,Vragenlijst!E34='Drop Down '!B32),Vragenlijst!E79,0)</f>
        <v>0</v>
      </c>
      <c r="I93" s="168">
        <v>100</v>
      </c>
      <c r="J93" s="223">
        <f>Uurtarieven!$C$7</f>
        <v>160</v>
      </c>
      <c r="K93" s="380">
        <v>1</v>
      </c>
      <c r="L93" s="190"/>
      <c r="M93" s="361">
        <f t="shared" si="9"/>
        <v>0</v>
      </c>
      <c r="N93" s="362"/>
      <c r="O93" s="590">
        <f t="shared" si="10"/>
        <v>0</v>
      </c>
      <c r="P93" s="365"/>
    </row>
    <row r="94" spans="1:117" x14ac:dyDescent="0.25">
      <c r="B94" s="177"/>
      <c r="C94" s="191"/>
      <c r="D94" s="191"/>
      <c r="E94" s="170" t="s">
        <v>188</v>
      </c>
      <c r="F94" s="122"/>
      <c r="G94" s="166" t="s">
        <v>184</v>
      </c>
      <c r="H94" s="549">
        <f>IF(Vragenlijst!E36="Ja",0,Vragenlijst!E80)</f>
        <v>0</v>
      </c>
      <c r="I94" s="168">
        <v>80</v>
      </c>
      <c r="J94" s="223">
        <f>Uurtarieven!$C$7</f>
        <v>160</v>
      </c>
      <c r="K94" s="380">
        <v>1</v>
      </c>
      <c r="L94" s="190"/>
      <c r="M94" s="361">
        <f t="shared" si="9"/>
        <v>0</v>
      </c>
      <c r="N94" s="362"/>
      <c r="O94" s="590">
        <f t="shared" si="10"/>
        <v>0</v>
      </c>
      <c r="P94" s="365"/>
    </row>
    <row r="95" spans="1:117" x14ac:dyDescent="0.25">
      <c r="B95" s="177"/>
      <c r="C95" s="191"/>
      <c r="D95" s="191"/>
      <c r="E95" s="170" t="s">
        <v>189</v>
      </c>
      <c r="F95" s="122"/>
      <c r="G95" s="166" t="s">
        <v>184</v>
      </c>
      <c r="H95" s="549">
        <f>IF(Vragenlijst!E36="Ja",Vragenlijst!E80,0)</f>
        <v>0</v>
      </c>
      <c r="I95" s="168">
        <v>100</v>
      </c>
      <c r="J95" s="223">
        <f>Uurtarieven!$C$7</f>
        <v>160</v>
      </c>
      <c r="K95" s="380">
        <v>1</v>
      </c>
      <c r="L95" s="190"/>
      <c r="M95" s="361">
        <f t="shared" si="9"/>
        <v>0</v>
      </c>
      <c r="N95" s="362"/>
      <c r="O95" s="590">
        <f t="shared" si="10"/>
        <v>0</v>
      </c>
      <c r="P95" s="365"/>
    </row>
    <row r="96" spans="1:117" x14ac:dyDescent="0.25">
      <c r="B96" s="177"/>
      <c r="C96" s="191"/>
      <c r="D96" s="191"/>
      <c r="E96" s="170" t="s">
        <v>190</v>
      </c>
      <c r="F96" s="122"/>
      <c r="G96" s="166" t="s">
        <v>184</v>
      </c>
      <c r="H96" s="231">
        <f>Vragenlijst!E82</f>
        <v>0</v>
      </c>
      <c r="I96" s="168">
        <v>48</v>
      </c>
      <c r="J96" s="223">
        <f>Uurtarieven!$C$7</f>
        <v>160</v>
      </c>
      <c r="K96" s="380">
        <v>1</v>
      </c>
      <c r="L96" s="190"/>
      <c r="M96" s="361">
        <f t="shared" si="9"/>
        <v>0</v>
      </c>
      <c r="N96" s="362"/>
      <c r="O96" s="590">
        <f t="shared" si="10"/>
        <v>0</v>
      </c>
      <c r="P96" s="365"/>
    </row>
    <row r="97" spans="1:117" s="155" customFormat="1" x14ac:dyDescent="0.25">
      <c r="A97" s="117"/>
      <c r="B97" s="161"/>
      <c r="C97" s="162"/>
      <c r="D97" s="162"/>
      <c r="E97" s="173"/>
      <c r="F97" s="145"/>
      <c r="G97" s="166" t="s">
        <v>150</v>
      </c>
      <c r="H97" s="82">
        <v>0.1</v>
      </c>
      <c r="I97" s="168">
        <f>I90*H90+I91*H91+I92*H92+I93*H93+I94*H94+I95*H95+I96*H96</f>
        <v>0</v>
      </c>
      <c r="J97" s="224">
        <f>Uurtarieven!$C$11</f>
        <v>181</v>
      </c>
      <c r="K97" s="380">
        <v>1</v>
      </c>
      <c r="L97" s="167"/>
      <c r="M97" s="361">
        <f t="shared" si="9"/>
        <v>0</v>
      </c>
      <c r="N97" s="362"/>
      <c r="O97" s="590">
        <f t="shared" si="10"/>
        <v>0</v>
      </c>
      <c r="P97" s="363"/>
      <c r="Q97" s="122"/>
      <c r="R97" s="122"/>
      <c r="S97" s="122"/>
      <c r="T97" s="122"/>
      <c r="U97" s="122"/>
      <c r="V97" s="122"/>
      <c r="W97" s="122"/>
      <c r="X97" s="122"/>
      <c r="Y97" s="122"/>
      <c r="Z97" s="122"/>
      <c r="AA97" s="122"/>
      <c r="AB97" s="122"/>
      <c r="AC97" s="122"/>
      <c r="AD97" s="122"/>
      <c r="AE97" s="122"/>
      <c r="AF97" s="122"/>
      <c r="AG97" s="122"/>
      <c r="AH97" s="122"/>
      <c r="AI97" s="122"/>
      <c r="AJ97" s="122"/>
      <c r="AK97" s="122"/>
      <c r="AL97" s="122"/>
      <c r="AM97" s="122"/>
      <c r="AN97" s="122"/>
      <c r="AO97" s="122"/>
      <c r="AP97" s="122"/>
      <c r="AQ97" s="122"/>
      <c r="AR97" s="117"/>
      <c r="AS97" s="117"/>
      <c r="AT97" s="117"/>
      <c r="AU97" s="117"/>
      <c r="AV97" s="117"/>
      <c r="AW97" s="117"/>
      <c r="AX97" s="117"/>
      <c r="AY97" s="117"/>
      <c r="AZ97" s="117"/>
      <c r="BA97" s="117"/>
      <c r="BB97" s="117"/>
      <c r="BC97" s="117"/>
      <c r="BD97" s="117"/>
      <c r="BE97" s="117"/>
      <c r="BF97" s="117"/>
      <c r="BG97" s="117"/>
      <c r="BH97" s="117"/>
      <c r="BI97" s="117"/>
      <c r="BJ97" s="117"/>
      <c r="BK97" s="117"/>
      <c r="BL97" s="117"/>
      <c r="BM97" s="117"/>
      <c r="BN97" s="117"/>
      <c r="BO97" s="117"/>
      <c r="BP97" s="117"/>
      <c r="BQ97" s="117"/>
      <c r="BR97" s="117"/>
      <c r="BS97" s="117"/>
      <c r="BT97" s="117"/>
      <c r="BU97" s="117"/>
      <c r="BV97" s="117"/>
      <c r="BW97" s="117"/>
      <c r="BX97" s="117"/>
      <c r="BY97" s="117"/>
      <c r="BZ97" s="117"/>
      <c r="CA97" s="117"/>
      <c r="CB97" s="117"/>
      <c r="CC97" s="117"/>
      <c r="CD97" s="117"/>
      <c r="CE97" s="117"/>
      <c r="CF97" s="117"/>
      <c r="CG97" s="117"/>
      <c r="CH97" s="117"/>
      <c r="CI97" s="117"/>
      <c r="CJ97" s="117"/>
      <c r="CK97" s="117"/>
      <c r="CL97" s="117"/>
      <c r="CM97" s="117"/>
      <c r="CN97" s="117"/>
      <c r="CO97" s="117"/>
      <c r="CP97" s="117"/>
      <c r="CQ97" s="117"/>
      <c r="CR97" s="117"/>
      <c r="CS97" s="117"/>
      <c r="CT97" s="117"/>
      <c r="CU97" s="117"/>
      <c r="CV97" s="117"/>
      <c r="CW97" s="117"/>
      <c r="CX97" s="117"/>
      <c r="CY97" s="117"/>
      <c r="CZ97" s="117"/>
      <c r="DA97" s="117"/>
      <c r="DB97" s="117"/>
      <c r="DC97" s="117"/>
      <c r="DD97" s="117"/>
      <c r="DE97" s="117"/>
      <c r="DF97" s="117"/>
      <c r="DG97" s="117"/>
      <c r="DH97" s="117"/>
      <c r="DI97" s="117"/>
      <c r="DJ97" s="117"/>
      <c r="DK97" s="117"/>
      <c r="DL97" s="117"/>
      <c r="DM97" s="117"/>
    </row>
    <row r="98" spans="1:117" s="155" customFormat="1" x14ac:dyDescent="0.25">
      <c r="A98" s="117"/>
      <c r="B98" s="161"/>
      <c r="C98" s="162"/>
      <c r="D98" s="162"/>
      <c r="E98" s="173"/>
      <c r="F98" s="145"/>
      <c r="G98" s="166" t="s">
        <v>156</v>
      </c>
      <c r="H98" s="82">
        <v>0.05</v>
      </c>
      <c r="I98" s="168">
        <f>I90*H90+I91*H91+I92*H92+I93*H93+I94*H94+I95*H95+I96*H96</f>
        <v>0</v>
      </c>
      <c r="J98" s="224">
        <f>Uurtarieven!$C$10</f>
        <v>160</v>
      </c>
      <c r="K98" s="380">
        <v>1</v>
      </c>
      <c r="L98" s="167"/>
      <c r="M98" s="361">
        <f t="shared" si="9"/>
        <v>0</v>
      </c>
      <c r="N98" s="362"/>
      <c r="O98" s="590">
        <f t="shared" si="10"/>
        <v>0</v>
      </c>
      <c r="P98" s="363"/>
      <c r="Q98" s="122"/>
      <c r="R98" s="122"/>
      <c r="S98" s="122"/>
      <c r="T98" s="122"/>
      <c r="U98" s="122"/>
      <c r="V98" s="122"/>
      <c r="W98" s="122"/>
      <c r="X98" s="122"/>
      <c r="Y98" s="122"/>
      <c r="Z98" s="122"/>
      <c r="AA98" s="122"/>
      <c r="AB98" s="122"/>
      <c r="AC98" s="122"/>
      <c r="AD98" s="122"/>
      <c r="AE98" s="122"/>
      <c r="AF98" s="122"/>
      <c r="AG98" s="122"/>
      <c r="AH98" s="122"/>
      <c r="AI98" s="122"/>
      <c r="AJ98" s="122"/>
      <c r="AK98" s="122"/>
      <c r="AL98" s="122"/>
      <c r="AM98" s="122"/>
      <c r="AN98" s="122"/>
      <c r="AO98" s="122"/>
      <c r="AP98" s="122"/>
      <c r="AQ98" s="122"/>
      <c r="AR98" s="117"/>
      <c r="AS98" s="117"/>
      <c r="AT98" s="117"/>
      <c r="AU98" s="117"/>
      <c r="AV98" s="117"/>
      <c r="AW98" s="117"/>
      <c r="AX98" s="117"/>
      <c r="AY98" s="117"/>
      <c r="AZ98" s="117"/>
      <c r="BA98" s="117"/>
      <c r="BB98" s="117"/>
      <c r="BC98" s="117"/>
      <c r="BD98" s="117"/>
      <c r="BE98" s="117"/>
      <c r="BF98" s="117"/>
      <c r="BG98" s="117"/>
      <c r="BH98" s="117"/>
      <c r="BI98" s="117"/>
      <c r="BJ98" s="117"/>
      <c r="BK98" s="117"/>
      <c r="BL98" s="117"/>
      <c r="BM98" s="117"/>
      <c r="BN98" s="117"/>
      <c r="BO98" s="117"/>
      <c r="BP98" s="117"/>
      <c r="BQ98" s="117"/>
      <c r="BR98" s="117"/>
      <c r="BS98" s="117"/>
      <c r="BT98" s="117"/>
      <c r="BU98" s="117"/>
      <c r="BV98" s="117"/>
      <c r="BW98" s="117"/>
      <c r="BX98" s="117"/>
      <c r="BY98" s="117"/>
      <c r="BZ98" s="117"/>
      <c r="CA98" s="117"/>
      <c r="CB98" s="117"/>
      <c r="CC98" s="117"/>
      <c r="CD98" s="117"/>
      <c r="CE98" s="117"/>
      <c r="CF98" s="117"/>
      <c r="CG98" s="117"/>
      <c r="CH98" s="117"/>
      <c r="CI98" s="117"/>
      <c r="CJ98" s="117"/>
      <c r="CK98" s="117"/>
      <c r="CL98" s="117"/>
      <c r="CM98" s="117"/>
      <c r="CN98" s="117"/>
      <c r="CO98" s="117"/>
      <c r="CP98" s="117"/>
      <c r="CQ98" s="117"/>
      <c r="CR98" s="117"/>
      <c r="CS98" s="117"/>
      <c r="CT98" s="117"/>
      <c r="CU98" s="117"/>
      <c r="CV98" s="117"/>
      <c r="CW98" s="117"/>
      <c r="CX98" s="117"/>
      <c r="CY98" s="117"/>
      <c r="CZ98" s="117"/>
      <c r="DA98" s="117"/>
      <c r="DB98" s="117"/>
      <c r="DC98" s="117"/>
      <c r="DD98" s="117"/>
      <c r="DE98" s="117"/>
      <c r="DF98" s="117"/>
      <c r="DG98" s="117"/>
      <c r="DH98" s="117"/>
      <c r="DI98" s="117"/>
      <c r="DJ98" s="117"/>
      <c r="DK98" s="117"/>
      <c r="DL98" s="117"/>
      <c r="DM98" s="117"/>
    </row>
    <row r="99" spans="1:117" s="155" customFormat="1" x14ac:dyDescent="0.25">
      <c r="A99" s="117"/>
      <c r="B99" s="161"/>
      <c r="C99" s="162"/>
      <c r="D99" s="162"/>
      <c r="E99" s="173"/>
      <c r="F99" s="145"/>
      <c r="G99" s="166" t="s">
        <v>151</v>
      </c>
      <c r="H99" s="82">
        <v>0.01</v>
      </c>
      <c r="I99" s="165">
        <f>I90*H90+I91*H91+I92*H92+I93*H93+I94*H94+I95*H95+I96*H96</f>
        <v>0</v>
      </c>
      <c r="J99" s="223">
        <f>Uurtarieven!$C$8</f>
        <v>126</v>
      </c>
      <c r="K99" s="380">
        <v>1</v>
      </c>
      <c r="L99" s="167"/>
      <c r="M99" s="426">
        <f t="shared" si="9"/>
        <v>0</v>
      </c>
      <c r="N99" s="428"/>
      <c r="O99" s="433">
        <f t="shared" si="10"/>
        <v>0</v>
      </c>
      <c r="P99" s="429"/>
      <c r="Q99" s="122"/>
      <c r="R99" s="122"/>
      <c r="S99" s="122"/>
      <c r="T99" s="122"/>
      <c r="U99" s="122"/>
      <c r="V99" s="122"/>
      <c r="W99" s="122"/>
      <c r="X99" s="122"/>
      <c r="Y99" s="122"/>
      <c r="Z99" s="122"/>
      <c r="AA99" s="122"/>
      <c r="AB99" s="122"/>
      <c r="AC99" s="122"/>
      <c r="AD99" s="122"/>
      <c r="AE99" s="122"/>
      <c r="AF99" s="122"/>
      <c r="AG99" s="122"/>
      <c r="AH99" s="122"/>
      <c r="AI99" s="122"/>
      <c r="AJ99" s="122"/>
      <c r="AK99" s="122"/>
      <c r="AL99" s="122"/>
      <c r="AM99" s="122"/>
      <c r="AN99" s="122"/>
      <c r="AO99" s="122"/>
      <c r="AP99" s="122"/>
      <c r="AQ99" s="122"/>
      <c r="AR99" s="117"/>
      <c r="AS99" s="117"/>
      <c r="AT99" s="117"/>
      <c r="AU99" s="117"/>
      <c r="AV99" s="117"/>
      <c r="AW99" s="117"/>
      <c r="AX99" s="117"/>
      <c r="AY99" s="117"/>
      <c r="AZ99" s="117"/>
      <c r="BA99" s="117"/>
      <c r="BB99" s="117"/>
      <c r="BC99" s="117"/>
      <c r="BD99" s="117"/>
      <c r="BE99" s="117"/>
      <c r="BF99" s="117"/>
      <c r="BG99" s="117"/>
      <c r="BH99" s="117"/>
      <c r="BI99" s="117"/>
      <c r="BJ99" s="117"/>
      <c r="BK99" s="117"/>
      <c r="BL99" s="117"/>
      <c r="BM99" s="117"/>
      <c r="BN99" s="117"/>
      <c r="BO99" s="117"/>
      <c r="BP99" s="117"/>
      <c r="BQ99" s="117"/>
      <c r="BR99" s="117"/>
      <c r="BS99" s="117"/>
      <c r="BT99" s="117"/>
      <c r="BU99" s="117"/>
      <c r="BV99" s="117"/>
      <c r="BW99" s="117"/>
      <c r="BX99" s="117"/>
      <c r="BY99" s="117"/>
      <c r="BZ99" s="117"/>
      <c r="CA99" s="117"/>
      <c r="CB99" s="117"/>
      <c r="CC99" s="117"/>
      <c r="CD99" s="117"/>
      <c r="CE99" s="117"/>
      <c r="CF99" s="117"/>
      <c r="CG99" s="117"/>
      <c r="CH99" s="117"/>
      <c r="CI99" s="117"/>
      <c r="CJ99" s="117"/>
      <c r="CK99" s="117"/>
      <c r="CL99" s="117"/>
      <c r="CM99" s="117"/>
      <c r="CN99" s="117"/>
      <c r="CO99" s="117"/>
      <c r="CP99" s="117"/>
      <c r="CQ99" s="117"/>
      <c r="CR99" s="117"/>
      <c r="CS99" s="117"/>
      <c r="CT99" s="117"/>
      <c r="CU99" s="117"/>
      <c r="CV99" s="117"/>
      <c r="CW99" s="117"/>
      <c r="CX99" s="117"/>
      <c r="CY99" s="117"/>
      <c r="CZ99" s="117"/>
      <c r="DA99" s="117"/>
      <c r="DB99" s="117"/>
      <c r="DC99" s="117"/>
      <c r="DD99" s="117"/>
      <c r="DE99" s="117"/>
      <c r="DF99" s="117"/>
      <c r="DG99" s="117"/>
      <c r="DH99" s="117"/>
      <c r="DI99" s="117"/>
      <c r="DJ99" s="117"/>
      <c r="DK99" s="117"/>
      <c r="DL99" s="117"/>
      <c r="DM99" s="117"/>
    </row>
    <row r="100" spans="1:117" x14ac:dyDescent="0.25">
      <c r="B100" s="177"/>
      <c r="C100" s="191"/>
      <c r="D100" s="191"/>
      <c r="E100" s="193"/>
      <c r="F100" s="122"/>
      <c r="G100" s="151"/>
      <c r="H100" s="110"/>
      <c r="I100" s="153"/>
      <c r="J100" s="227"/>
      <c r="K100" s="380"/>
      <c r="L100" s="190"/>
      <c r="M100" s="361"/>
      <c r="N100" s="362">
        <f>SUM(M90:M99)</f>
        <v>0</v>
      </c>
      <c r="O100" s="590"/>
      <c r="P100" s="365">
        <f>SUM(O90:O99)</f>
        <v>0</v>
      </c>
    </row>
    <row r="101" spans="1:117" x14ac:dyDescent="0.25">
      <c r="B101" s="156" t="s">
        <v>172</v>
      </c>
      <c r="C101" s="179" t="s">
        <v>191</v>
      </c>
      <c r="D101" s="179"/>
      <c r="E101" s="163"/>
      <c r="F101" s="122"/>
      <c r="G101" s="151"/>
      <c r="H101" s="110"/>
      <c r="I101" s="153"/>
      <c r="J101" s="227"/>
      <c r="K101" s="380"/>
      <c r="L101" s="190"/>
      <c r="M101" s="361"/>
      <c r="O101" s="590"/>
      <c r="P101" s="365"/>
    </row>
    <row r="102" spans="1:117" x14ac:dyDescent="0.25">
      <c r="B102" s="177"/>
      <c r="C102" s="565" t="s">
        <v>174</v>
      </c>
      <c r="D102" s="565"/>
      <c r="E102" s="194" t="s">
        <v>192</v>
      </c>
      <c r="F102" s="122"/>
      <c r="G102" s="195" t="s">
        <v>184</v>
      </c>
      <c r="H102" s="231">
        <f>Vragenlijst!E85</f>
        <v>0</v>
      </c>
      <c r="I102" s="168">
        <v>134</v>
      </c>
      <c r="J102" s="227">
        <f>Uurtarieven!$C$7</f>
        <v>160</v>
      </c>
      <c r="K102" s="380">
        <v>1</v>
      </c>
      <c r="L102" s="190"/>
      <c r="M102" s="361">
        <f>K102*J102*I102*H102</f>
        <v>0</v>
      </c>
      <c r="N102" s="362"/>
      <c r="O102" s="590">
        <f>H102*I102*K102</f>
        <v>0</v>
      </c>
      <c r="P102" s="365"/>
    </row>
    <row r="103" spans="1:117" x14ac:dyDescent="0.25">
      <c r="B103" s="177"/>
      <c r="C103" s="191"/>
      <c r="D103" s="191"/>
      <c r="E103" s="196" t="s">
        <v>193</v>
      </c>
      <c r="F103" s="122"/>
      <c r="G103" s="195" t="s">
        <v>184</v>
      </c>
      <c r="H103" s="231">
        <f>Vragenlijst!E86</f>
        <v>0</v>
      </c>
      <c r="I103" s="168">
        <v>50</v>
      </c>
      <c r="J103" s="227">
        <f>Uurtarieven!$C$7</f>
        <v>160</v>
      </c>
      <c r="K103" s="380">
        <v>1</v>
      </c>
      <c r="L103" s="190"/>
      <c r="M103" s="361">
        <f>K103*J103*I103*H103</f>
        <v>0</v>
      </c>
      <c r="N103" s="362"/>
      <c r="O103" s="590">
        <f>H103*I103*K103</f>
        <v>0</v>
      </c>
      <c r="P103" s="365"/>
    </row>
    <row r="104" spans="1:117" x14ac:dyDescent="0.25">
      <c r="B104" s="177"/>
      <c r="C104" s="191"/>
      <c r="D104" s="191"/>
      <c r="E104" s="173" t="s">
        <v>194</v>
      </c>
      <c r="F104" s="122"/>
      <c r="G104" s="166" t="s">
        <v>195</v>
      </c>
      <c r="H104" s="231">
        <f>H103</f>
        <v>0</v>
      </c>
      <c r="I104" s="568">
        <v>38056</v>
      </c>
      <c r="J104" s="227"/>
      <c r="K104" s="380">
        <v>1</v>
      </c>
      <c r="L104" s="190"/>
      <c r="M104" s="361">
        <f>K104*I104*H104</f>
        <v>0</v>
      </c>
      <c r="N104" s="362"/>
      <c r="O104" s="590"/>
      <c r="P104" s="365"/>
    </row>
    <row r="105" spans="1:117" s="155" customFormat="1" x14ac:dyDescent="0.25">
      <c r="A105" s="117"/>
      <c r="B105" s="161"/>
      <c r="C105" s="162"/>
      <c r="D105" s="162"/>
      <c r="E105" s="173"/>
      <c r="F105" s="145"/>
      <c r="G105" s="166" t="s">
        <v>150</v>
      </c>
      <c r="H105" s="82">
        <v>0.1</v>
      </c>
      <c r="I105" s="168">
        <f>I102*H102+I103*H103</f>
        <v>0</v>
      </c>
      <c r="J105" s="226">
        <f>Uurtarieven!$C$11</f>
        <v>181</v>
      </c>
      <c r="K105" s="380">
        <v>1</v>
      </c>
      <c r="L105" s="167"/>
      <c r="M105" s="361">
        <f>K105*J105*I105*H105</f>
        <v>0</v>
      </c>
      <c r="N105" s="362"/>
      <c r="O105" s="590">
        <f>H105*I105*K105</f>
        <v>0</v>
      </c>
      <c r="P105" s="363"/>
      <c r="Q105" s="122"/>
      <c r="R105" s="122"/>
      <c r="S105" s="122"/>
      <c r="T105" s="122"/>
      <c r="U105" s="122"/>
      <c r="V105" s="122"/>
      <c r="W105" s="122"/>
      <c r="X105" s="122"/>
      <c r="Y105" s="122"/>
      <c r="Z105" s="122"/>
      <c r="AA105" s="122"/>
      <c r="AB105" s="122"/>
      <c r="AC105" s="122"/>
      <c r="AD105" s="122"/>
      <c r="AE105" s="122"/>
      <c r="AF105" s="122"/>
      <c r="AG105" s="122"/>
      <c r="AH105" s="122"/>
      <c r="AI105" s="122"/>
      <c r="AJ105" s="122"/>
      <c r="AK105" s="122"/>
      <c r="AL105" s="122"/>
      <c r="AM105" s="122"/>
      <c r="AN105" s="122"/>
      <c r="AO105" s="122"/>
      <c r="AP105" s="122"/>
      <c r="AQ105" s="122"/>
      <c r="AR105" s="117"/>
      <c r="AS105" s="117"/>
      <c r="AT105" s="117"/>
      <c r="AU105" s="117"/>
      <c r="AV105" s="117"/>
      <c r="AW105" s="117"/>
      <c r="AX105" s="117"/>
      <c r="AY105" s="117"/>
      <c r="AZ105" s="117"/>
      <c r="BA105" s="117"/>
      <c r="BB105" s="117"/>
      <c r="BC105" s="117"/>
      <c r="BD105" s="117"/>
      <c r="BE105" s="117"/>
      <c r="BF105" s="117"/>
      <c r="BG105" s="117"/>
      <c r="BH105" s="117"/>
      <c r="BI105" s="117"/>
      <c r="BJ105" s="117"/>
      <c r="BK105" s="117"/>
      <c r="BL105" s="117"/>
      <c r="BM105" s="117"/>
      <c r="BN105" s="117"/>
      <c r="BO105" s="117"/>
      <c r="BP105" s="117"/>
      <c r="BQ105" s="117"/>
      <c r="BR105" s="117"/>
      <c r="BS105" s="117"/>
      <c r="BT105" s="117"/>
      <c r="BU105" s="117"/>
      <c r="BV105" s="117"/>
      <c r="BW105" s="117"/>
      <c r="BX105" s="117"/>
      <c r="BY105" s="117"/>
      <c r="BZ105" s="117"/>
      <c r="CA105" s="117"/>
      <c r="CB105" s="117"/>
      <c r="CC105" s="117"/>
      <c r="CD105" s="117"/>
      <c r="CE105" s="117"/>
      <c r="CF105" s="117"/>
      <c r="CG105" s="117"/>
      <c r="CH105" s="117"/>
      <c r="CI105" s="117"/>
      <c r="CJ105" s="117"/>
      <c r="CK105" s="117"/>
      <c r="CL105" s="117"/>
      <c r="CM105" s="117"/>
      <c r="CN105" s="117"/>
      <c r="CO105" s="117"/>
      <c r="CP105" s="117"/>
      <c r="CQ105" s="117"/>
      <c r="CR105" s="117"/>
      <c r="CS105" s="117"/>
      <c r="CT105" s="117"/>
      <c r="CU105" s="117"/>
      <c r="CV105" s="117"/>
      <c r="CW105" s="117"/>
      <c r="CX105" s="117"/>
      <c r="CY105" s="117"/>
      <c r="CZ105" s="117"/>
      <c r="DA105" s="117"/>
      <c r="DB105" s="117"/>
      <c r="DC105" s="117"/>
      <c r="DD105" s="117"/>
      <c r="DE105" s="117"/>
      <c r="DF105" s="117"/>
      <c r="DG105" s="117"/>
      <c r="DH105" s="117"/>
      <c r="DI105" s="117"/>
      <c r="DJ105" s="117"/>
      <c r="DK105" s="117"/>
      <c r="DL105" s="117"/>
      <c r="DM105" s="117"/>
    </row>
    <row r="106" spans="1:117" s="155" customFormat="1" x14ac:dyDescent="0.25">
      <c r="A106" s="117"/>
      <c r="B106" s="161"/>
      <c r="C106" s="162"/>
      <c r="D106" s="162"/>
      <c r="E106" s="173"/>
      <c r="F106" s="145"/>
      <c r="G106" s="166" t="s">
        <v>156</v>
      </c>
      <c r="H106" s="82">
        <v>0.05</v>
      </c>
      <c r="I106" s="168">
        <f>I102*H102+I103*H103</f>
        <v>0</v>
      </c>
      <c r="J106" s="224">
        <f>Uurtarieven!$C$10</f>
        <v>160</v>
      </c>
      <c r="K106" s="380">
        <v>1</v>
      </c>
      <c r="L106" s="167"/>
      <c r="M106" s="361">
        <f>K106*J106*I106*H106</f>
        <v>0</v>
      </c>
      <c r="N106" s="362"/>
      <c r="O106" s="590">
        <f>H106*I106*K106</f>
        <v>0</v>
      </c>
      <c r="P106" s="363"/>
      <c r="Q106" s="122"/>
      <c r="R106" s="122"/>
      <c r="S106" s="122"/>
      <c r="T106" s="122"/>
      <c r="U106" s="122"/>
      <c r="V106" s="122"/>
      <c r="W106" s="122"/>
      <c r="X106" s="122"/>
      <c r="Y106" s="122"/>
      <c r="Z106" s="122"/>
      <c r="AA106" s="122"/>
      <c r="AB106" s="122"/>
      <c r="AC106" s="122"/>
      <c r="AD106" s="122"/>
      <c r="AE106" s="122"/>
      <c r="AF106" s="122"/>
      <c r="AG106" s="122"/>
      <c r="AH106" s="122"/>
      <c r="AI106" s="122"/>
      <c r="AJ106" s="122"/>
      <c r="AK106" s="122"/>
      <c r="AL106" s="122"/>
      <c r="AM106" s="122"/>
      <c r="AN106" s="122"/>
      <c r="AO106" s="122"/>
      <c r="AP106" s="122"/>
      <c r="AQ106" s="122"/>
      <c r="AR106" s="117"/>
      <c r="AS106" s="117"/>
      <c r="AT106" s="117"/>
      <c r="AU106" s="117"/>
      <c r="AV106" s="117"/>
      <c r="AW106" s="117"/>
      <c r="AX106" s="117"/>
      <c r="AY106" s="117"/>
      <c r="AZ106" s="117"/>
      <c r="BA106" s="117"/>
      <c r="BB106" s="117"/>
      <c r="BC106" s="117"/>
      <c r="BD106" s="117"/>
      <c r="BE106" s="117"/>
      <c r="BF106" s="117"/>
      <c r="BG106" s="117"/>
      <c r="BH106" s="117"/>
      <c r="BI106" s="117"/>
      <c r="BJ106" s="117"/>
      <c r="BK106" s="117"/>
      <c r="BL106" s="117"/>
      <c r="BM106" s="117"/>
      <c r="BN106" s="117"/>
      <c r="BO106" s="117"/>
      <c r="BP106" s="117"/>
      <c r="BQ106" s="117"/>
      <c r="BR106" s="117"/>
      <c r="BS106" s="117"/>
      <c r="BT106" s="117"/>
      <c r="BU106" s="117"/>
      <c r="BV106" s="117"/>
      <c r="BW106" s="117"/>
      <c r="BX106" s="117"/>
      <c r="BY106" s="117"/>
      <c r="BZ106" s="117"/>
      <c r="CA106" s="117"/>
      <c r="CB106" s="117"/>
      <c r="CC106" s="117"/>
      <c r="CD106" s="117"/>
      <c r="CE106" s="117"/>
      <c r="CF106" s="117"/>
      <c r="CG106" s="117"/>
      <c r="CH106" s="117"/>
      <c r="CI106" s="117"/>
      <c r="CJ106" s="117"/>
      <c r="CK106" s="117"/>
      <c r="CL106" s="117"/>
      <c r="CM106" s="117"/>
      <c r="CN106" s="117"/>
      <c r="CO106" s="117"/>
      <c r="CP106" s="117"/>
      <c r="CQ106" s="117"/>
      <c r="CR106" s="117"/>
      <c r="CS106" s="117"/>
      <c r="CT106" s="117"/>
      <c r="CU106" s="117"/>
      <c r="CV106" s="117"/>
      <c r="CW106" s="117"/>
      <c r="CX106" s="117"/>
      <c r="CY106" s="117"/>
      <c r="CZ106" s="117"/>
      <c r="DA106" s="117"/>
      <c r="DB106" s="117"/>
      <c r="DC106" s="117"/>
      <c r="DD106" s="117"/>
      <c r="DE106" s="117"/>
      <c r="DF106" s="117"/>
      <c r="DG106" s="117"/>
      <c r="DH106" s="117"/>
      <c r="DI106" s="117"/>
      <c r="DJ106" s="117"/>
      <c r="DK106" s="117"/>
      <c r="DL106" s="117"/>
      <c r="DM106" s="117"/>
    </row>
    <row r="107" spans="1:117" s="155" customFormat="1" x14ac:dyDescent="0.25">
      <c r="A107" s="117"/>
      <c r="B107" s="161"/>
      <c r="C107" s="162"/>
      <c r="D107" s="162"/>
      <c r="E107" s="173"/>
      <c r="F107" s="145"/>
      <c r="G107" s="166" t="s">
        <v>151</v>
      </c>
      <c r="H107" s="82">
        <v>0.01</v>
      </c>
      <c r="I107" s="168">
        <f>I102*H102+I103*H103</f>
        <v>0</v>
      </c>
      <c r="J107" s="226">
        <f>Uurtarieven!$C$8</f>
        <v>126</v>
      </c>
      <c r="K107" s="380">
        <v>1</v>
      </c>
      <c r="L107" s="167"/>
      <c r="M107" s="426">
        <f>K107*J107*I107*H107</f>
        <v>0</v>
      </c>
      <c r="N107" s="428"/>
      <c r="O107" s="433">
        <f>H107*I107*K107</f>
        <v>0</v>
      </c>
      <c r="P107" s="429"/>
      <c r="Q107" s="122"/>
      <c r="R107" s="122"/>
      <c r="S107" s="122"/>
      <c r="T107" s="122"/>
      <c r="U107" s="122"/>
      <c r="V107" s="122"/>
      <c r="W107" s="122"/>
      <c r="X107" s="122"/>
      <c r="Y107" s="122"/>
      <c r="Z107" s="122"/>
      <c r="AA107" s="122"/>
      <c r="AB107" s="122"/>
      <c r="AC107" s="122"/>
      <c r="AD107" s="122"/>
      <c r="AE107" s="122"/>
      <c r="AF107" s="122"/>
      <c r="AG107" s="122"/>
      <c r="AH107" s="122"/>
      <c r="AI107" s="122"/>
      <c r="AJ107" s="122"/>
      <c r="AK107" s="122"/>
      <c r="AL107" s="122"/>
      <c r="AM107" s="122"/>
      <c r="AN107" s="122"/>
      <c r="AO107" s="122"/>
      <c r="AP107" s="122"/>
      <c r="AQ107" s="122"/>
      <c r="AR107" s="117"/>
      <c r="AS107" s="117"/>
      <c r="AT107" s="117"/>
      <c r="AU107" s="117"/>
      <c r="AV107" s="117"/>
      <c r="AW107" s="117"/>
      <c r="AX107" s="117"/>
      <c r="AY107" s="117"/>
      <c r="AZ107" s="117"/>
      <c r="BA107" s="117"/>
      <c r="BB107" s="117"/>
      <c r="BC107" s="117"/>
      <c r="BD107" s="117"/>
      <c r="BE107" s="117"/>
      <c r="BF107" s="117"/>
      <c r="BG107" s="117"/>
      <c r="BH107" s="117"/>
      <c r="BI107" s="117"/>
      <c r="BJ107" s="117"/>
      <c r="BK107" s="117"/>
      <c r="BL107" s="117"/>
      <c r="BM107" s="117"/>
      <c r="BN107" s="117"/>
      <c r="BO107" s="117"/>
      <c r="BP107" s="117"/>
      <c r="BQ107" s="117"/>
      <c r="BR107" s="117"/>
      <c r="BS107" s="117"/>
      <c r="BT107" s="117"/>
      <c r="BU107" s="117"/>
      <c r="BV107" s="117"/>
      <c r="BW107" s="117"/>
      <c r="BX107" s="117"/>
      <c r="BY107" s="117"/>
      <c r="BZ107" s="117"/>
      <c r="CA107" s="117"/>
      <c r="CB107" s="117"/>
      <c r="CC107" s="117"/>
      <c r="CD107" s="117"/>
      <c r="CE107" s="117"/>
      <c r="CF107" s="117"/>
      <c r="CG107" s="117"/>
      <c r="CH107" s="117"/>
      <c r="CI107" s="117"/>
      <c r="CJ107" s="117"/>
      <c r="CK107" s="117"/>
      <c r="CL107" s="117"/>
      <c r="CM107" s="117"/>
      <c r="CN107" s="117"/>
      <c r="CO107" s="117"/>
      <c r="CP107" s="117"/>
      <c r="CQ107" s="117"/>
      <c r="CR107" s="117"/>
      <c r="CS107" s="117"/>
      <c r="CT107" s="117"/>
      <c r="CU107" s="117"/>
      <c r="CV107" s="117"/>
      <c r="CW107" s="117"/>
      <c r="CX107" s="117"/>
      <c r="CY107" s="117"/>
      <c r="CZ107" s="117"/>
      <c r="DA107" s="117"/>
      <c r="DB107" s="117"/>
      <c r="DC107" s="117"/>
      <c r="DD107" s="117"/>
      <c r="DE107" s="117"/>
      <c r="DF107" s="117"/>
      <c r="DG107" s="117"/>
      <c r="DH107" s="117"/>
      <c r="DI107" s="117"/>
      <c r="DJ107" s="117"/>
      <c r="DK107" s="117"/>
      <c r="DL107" s="117"/>
      <c r="DM107" s="117"/>
    </row>
    <row r="108" spans="1:117" x14ac:dyDescent="0.25">
      <c r="B108" s="177"/>
      <c r="C108" s="191"/>
      <c r="D108" s="191"/>
      <c r="E108" s="173"/>
      <c r="F108" s="122"/>
      <c r="G108" s="151"/>
      <c r="H108" s="110"/>
      <c r="I108" s="197"/>
      <c r="J108" s="227"/>
      <c r="K108" s="380"/>
      <c r="L108" s="190"/>
      <c r="M108" s="361"/>
      <c r="N108" s="362">
        <f>SUM(M102:M107)</f>
        <v>0</v>
      </c>
      <c r="O108" s="590"/>
      <c r="P108" s="365">
        <f>SUM(O102:O107)</f>
        <v>0</v>
      </c>
    </row>
    <row r="109" spans="1:117" x14ac:dyDescent="0.25">
      <c r="B109" s="156" t="s">
        <v>172</v>
      </c>
      <c r="C109" s="179" t="s">
        <v>196</v>
      </c>
      <c r="D109" s="179"/>
      <c r="E109" s="163"/>
      <c r="F109" s="122"/>
      <c r="G109" s="151"/>
      <c r="H109" s="110"/>
      <c r="I109" s="197"/>
      <c r="J109" s="227"/>
      <c r="K109" s="380"/>
      <c r="L109" s="190"/>
      <c r="M109" s="361"/>
      <c r="O109" s="590"/>
      <c r="P109" s="365"/>
    </row>
    <row r="110" spans="1:117" x14ac:dyDescent="0.25">
      <c r="B110" s="177"/>
      <c r="C110" s="565" t="s">
        <v>174</v>
      </c>
      <c r="D110" s="565"/>
      <c r="E110" s="173" t="s">
        <v>197</v>
      </c>
      <c r="F110" s="122"/>
      <c r="G110" s="166" t="s">
        <v>184</v>
      </c>
      <c r="H110" s="231">
        <f>IF(Vragenlijst!E89="Ja",1,0)</f>
        <v>0</v>
      </c>
      <c r="I110" s="168">
        <v>60</v>
      </c>
      <c r="J110" s="227">
        <f>Uurtarieven!$C$7</f>
        <v>160</v>
      </c>
      <c r="K110" s="380">
        <v>1</v>
      </c>
      <c r="L110" s="190"/>
      <c r="M110" s="361">
        <f>K110*J110*I110*H110</f>
        <v>0</v>
      </c>
      <c r="N110" s="362"/>
      <c r="O110" s="590">
        <f>H110*I110*K110</f>
        <v>0</v>
      </c>
      <c r="P110" s="365"/>
    </row>
    <row r="111" spans="1:117" s="155" customFormat="1" x14ac:dyDescent="0.25">
      <c r="A111" s="117"/>
      <c r="B111" s="161"/>
      <c r="C111" s="162"/>
      <c r="D111" s="162"/>
      <c r="E111" s="173"/>
      <c r="F111" s="145"/>
      <c r="G111" s="166" t="s">
        <v>150</v>
      </c>
      <c r="H111" s="82">
        <v>0.1</v>
      </c>
      <c r="I111" s="168">
        <f>I110*H110</f>
        <v>0</v>
      </c>
      <c r="J111" s="224">
        <f>Uurtarieven!$C$11</f>
        <v>181</v>
      </c>
      <c r="K111" s="380">
        <v>1</v>
      </c>
      <c r="L111" s="167"/>
      <c r="M111" s="361">
        <f>K111*J111*I111*H111</f>
        <v>0</v>
      </c>
      <c r="N111" s="362"/>
      <c r="O111" s="590">
        <f>H111*I111*K111</f>
        <v>0</v>
      </c>
      <c r="P111" s="363"/>
      <c r="Q111" s="122"/>
      <c r="R111" s="122"/>
      <c r="S111" s="122"/>
      <c r="T111" s="122"/>
      <c r="U111" s="122"/>
      <c r="V111" s="122"/>
      <c r="W111" s="122"/>
      <c r="X111" s="122"/>
      <c r="Y111" s="122"/>
      <c r="Z111" s="122"/>
      <c r="AA111" s="122"/>
      <c r="AB111" s="122"/>
      <c r="AC111" s="122"/>
      <c r="AD111" s="122"/>
      <c r="AE111" s="122"/>
      <c r="AF111" s="122"/>
      <c r="AG111" s="122"/>
      <c r="AH111" s="122"/>
      <c r="AI111" s="122"/>
      <c r="AJ111" s="122"/>
      <c r="AK111" s="122"/>
      <c r="AL111" s="122"/>
      <c r="AM111" s="122"/>
      <c r="AN111" s="122"/>
      <c r="AO111" s="122"/>
      <c r="AP111" s="122"/>
      <c r="AQ111" s="122"/>
      <c r="AR111" s="117"/>
      <c r="AS111" s="117"/>
      <c r="AT111" s="117"/>
      <c r="AU111" s="117"/>
      <c r="AV111" s="117"/>
      <c r="AW111" s="117"/>
      <c r="AX111" s="117"/>
      <c r="AY111" s="117"/>
      <c r="AZ111" s="117"/>
      <c r="BA111" s="117"/>
      <c r="BB111" s="117"/>
      <c r="BC111" s="117"/>
      <c r="BD111" s="117"/>
      <c r="BE111" s="117"/>
      <c r="BF111" s="117"/>
      <c r="BG111" s="117"/>
      <c r="BH111" s="117"/>
      <c r="BI111" s="117"/>
      <c r="BJ111" s="117"/>
      <c r="BK111" s="117"/>
      <c r="BL111" s="117"/>
      <c r="BM111" s="117"/>
      <c r="BN111" s="117"/>
      <c r="BO111" s="117"/>
      <c r="BP111" s="117"/>
      <c r="BQ111" s="117"/>
      <c r="BR111" s="117"/>
      <c r="BS111" s="117"/>
      <c r="BT111" s="117"/>
      <c r="BU111" s="117"/>
      <c r="BV111" s="117"/>
      <c r="BW111" s="117"/>
      <c r="BX111" s="117"/>
      <c r="BY111" s="117"/>
      <c r="BZ111" s="117"/>
      <c r="CA111" s="117"/>
      <c r="CB111" s="117"/>
      <c r="CC111" s="117"/>
      <c r="CD111" s="117"/>
      <c r="CE111" s="117"/>
      <c r="CF111" s="117"/>
      <c r="CG111" s="117"/>
      <c r="CH111" s="117"/>
      <c r="CI111" s="117"/>
      <c r="CJ111" s="117"/>
      <c r="CK111" s="117"/>
      <c r="CL111" s="117"/>
      <c r="CM111" s="117"/>
      <c r="CN111" s="117"/>
      <c r="CO111" s="117"/>
      <c r="CP111" s="117"/>
      <c r="CQ111" s="117"/>
      <c r="CR111" s="117"/>
      <c r="CS111" s="117"/>
      <c r="CT111" s="117"/>
      <c r="CU111" s="117"/>
      <c r="CV111" s="117"/>
      <c r="CW111" s="117"/>
      <c r="CX111" s="117"/>
      <c r="CY111" s="117"/>
      <c r="CZ111" s="117"/>
      <c r="DA111" s="117"/>
      <c r="DB111" s="117"/>
      <c r="DC111" s="117"/>
      <c r="DD111" s="117"/>
      <c r="DE111" s="117"/>
      <c r="DF111" s="117"/>
      <c r="DG111" s="117"/>
      <c r="DH111" s="117"/>
      <c r="DI111" s="117"/>
      <c r="DJ111" s="117"/>
      <c r="DK111" s="117"/>
      <c r="DL111" s="117"/>
      <c r="DM111" s="117"/>
    </row>
    <row r="112" spans="1:117" s="155" customFormat="1" x14ac:dyDescent="0.25">
      <c r="A112" s="117"/>
      <c r="B112" s="161"/>
      <c r="C112" s="162"/>
      <c r="D112" s="162"/>
      <c r="E112" s="173"/>
      <c r="F112" s="145"/>
      <c r="G112" s="166" t="s">
        <v>156</v>
      </c>
      <c r="H112" s="82">
        <v>0.05</v>
      </c>
      <c r="I112" s="168">
        <f>I110*H110</f>
        <v>0</v>
      </c>
      <c r="J112" s="224">
        <f>Uurtarieven!$C$10</f>
        <v>160</v>
      </c>
      <c r="K112" s="380">
        <v>1</v>
      </c>
      <c r="L112" s="167"/>
      <c r="M112" s="361">
        <f>K112*J112*I112*H112</f>
        <v>0</v>
      </c>
      <c r="N112" s="362"/>
      <c r="O112" s="590">
        <f>H112*I112*K112</f>
        <v>0</v>
      </c>
      <c r="P112" s="363"/>
      <c r="Q112" s="122"/>
      <c r="R112" s="122"/>
      <c r="S112" s="122"/>
      <c r="T112" s="122"/>
      <c r="U112" s="122"/>
      <c r="V112" s="122"/>
      <c r="W112" s="122"/>
      <c r="X112" s="122"/>
      <c r="Y112" s="122"/>
      <c r="Z112" s="122"/>
      <c r="AA112" s="122"/>
      <c r="AB112" s="122"/>
      <c r="AC112" s="122"/>
      <c r="AD112" s="122"/>
      <c r="AE112" s="122"/>
      <c r="AF112" s="122"/>
      <c r="AG112" s="122"/>
      <c r="AH112" s="122"/>
      <c r="AI112" s="122"/>
      <c r="AJ112" s="122"/>
      <c r="AK112" s="122"/>
      <c r="AL112" s="122"/>
      <c r="AM112" s="122"/>
      <c r="AN112" s="122"/>
      <c r="AO112" s="122"/>
      <c r="AP112" s="122"/>
      <c r="AQ112" s="122"/>
      <c r="AR112" s="117"/>
      <c r="AS112" s="117"/>
      <c r="AT112" s="117"/>
      <c r="AU112" s="117"/>
      <c r="AV112" s="117"/>
      <c r="AW112" s="117"/>
      <c r="AX112" s="117"/>
      <c r="AY112" s="117"/>
      <c r="AZ112" s="117"/>
      <c r="BA112" s="117"/>
      <c r="BB112" s="117"/>
      <c r="BC112" s="117"/>
      <c r="BD112" s="117"/>
      <c r="BE112" s="117"/>
      <c r="BF112" s="117"/>
      <c r="BG112" s="117"/>
      <c r="BH112" s="117"/>
      <c r="BI112" s="117"/>
      <c r="BJ112" s="117"/>
      <c r="BK112" s="117"/>
      <c r="BL112" s="117"/>
      <c r="BM112" s="117"/>
      <c r="BN112" s="117"/>
      <c r="BO112" s="117"/>
      <c r="BP112" s="117"/>
      <c r="BQ112" s="117"/>
      <c r="BR112" s="117"/>
      <c r="BS112" s="117"/>
      <c r="BT112" s="117"/>
      <c r="BU112" s="117"/>
      <c r="BV112" s="117"/>
      <c r="BW112" s="117"/>
      <c r="BX112" s="117"/>
      <c r="BY112" s="117"/>
      <c r="BZ112" s="117"/>
      <c r="CA112" s="117"/>
      <c r="CB112" s="117"/>
      <c r="CC112" s="117"/>
      <c r="CD112" s="117"/>
      <c r="CE112" s="117"/>
      <c r="CF112" s="117"/>
      <c r="CG112" s="117"/>
      <c r="CH112" s="117"/>
      <c r="CI112" s="117"/>
      <c r="CJ112" s="117"/>
      <c r="CK112" s="117"/>
      <c r="CL112" s="117"/>
      <c r="CM112" s="117"/>
      <c r="CN112" s="117"/>
      <c r="CO112" s="117"/>
      <c r="CP112" s="117"/>
      <c r="CQ112" s="117"/>
      <c r="CR112" s="117"/>
      <c r="CS112" s="117"/>
      <c r="CT112" s="117"/>
      <c r="CU112" s="117"/>
      <c r="CV112" s="117"/>
      <c r="CW112" s="117"/>
      <c r="CX112" s="117"/>
      <c r="CY112" s="117"/>
      <c r="CZ112" s="117"/>
      <c r="DA112" s="117"/>
      <c r="DB112" s="117"/>
      <c r="DC112" s="117"/>
      <c r="DD112" s="117"/>
      <c r="DE112" s="117"/>
      <c r="DF112" s="117"/>
      <c r="DG112" s="117"/>
      <c r="DH112" s="117"/>
      <c r="DI112" s="117"/>
      <c r="DJ112" s="117"/>
      <c r="DK112" s="117"/>
      <c r="DL112" s="117"/>
      <c r="DM112" s="117"/>
    </row>
    <row r="113" spans="1:117" s="155" customFormat="1" x14ac:dyDescent="0.25">
      <c r="A113" s="117"/>
      <c r="B113" s="161"/>
      <c r="C113" s="162"/>
      <c r="D113" s="162"/>
      <c r="E113" s="173"/>
      <c r="F113" s="145"/>
      <c r="G113" s="166" t="s">
        <v>151</v>
      </c>
      <c r="H113" s="82">
        <v>0.01</v>
      </c>
      <c r="I113" s="165">
        <f>I110*H110</f>
        <v>0</v>
      </c>
      <c r="J113" s="226">
        <f>Uurtarieven!$C$8</f>
        <v>126</v>
      </c>
      <c r="K113" s="380">
        <v>1</v>
      </c>
      <c r="L113" s="167"/>
      <c r="M113" s="426">
        <f>K113*J113*I113*H113</f>
        <v>0</v>
      </c>
      <c r="N113" s="428"/>
      <c r="O113" s="433">
        <f>H113*I113*K113</f>
        <v>0</v>
      </c>
      <c r="P113" s="429"/>
      <c r="Q113" s="122"/>
      <c r="R113" s="122"/>
      <c r="S113" s="122"/>
      <c r="T113" s="122"/>
      <c r="U113" s="122"/>
      <c r="V113" s="122"/>
      <c r="W113" s="122"/>
      <c r="X113" s="122"/>
      <c r="Y113" s="122"/>
      <c r="Z113" s="122"/>
      <c r="AA113" s="122"/>
      <c r="AB113" s="122"/>
      <c r="AC113" s="122"/>
      <c r="AD113" s="122"/>
      <c r="AE113" s="122"/>
      <c r="AF113" s="122"/>
      <c r="AG113" s="122"/>
      <c r="AH113" s="122"/>
      <c r="AI113" s="122"/>
      <c r="AJ113" s="122"/>
      <c r="AK113" s="122"/>
      <c r="AL113" s="122"/>
      <c r="AM113" s="122"/>
      <c r="AN113" s="122"/>
      <c r="AO113" s="122"/>
      <c r="AP113" s="122"/>
      <c r="AQ113" s="122"/>
      <c r="AR113" s="117"/>
      <c r="AS113" s="117"/>
      <c r="AT113" s="117"/>
      <c r="AU113" s="117"/>
      <c r="AV113" s="117"/>
      <c r="AW113" s="117"/>
      <c r="AX113" s="117"/>
      <c r="AY113" s="117"/>
      <c r="AZ113" s="117"/>
      <c r="BA113" s="117"/>
      <c r="BB113" s="117"/>
      <c r="BC113" s="117"/>
      <c r="BD113" s="117"/>
      <c r="BE113" s="117"/>
      <c r="BF113" s="117"/>
      <c r="BG113" s="117"/>
      <c r="BH113" s="117"/>
      <c r="BI113" s="117"/>
      <c r="BJ113" s="117"/>
      <c r="BK113" s="117"/>
      <c r="BL113" s="117"/>
      <c r="BM113" s="117"/>
      <c r="BN113" s="117"/>
      <c r="BO113" s="117"/>
      <c r="BP113" s="117"/>
      <c r="BQ113" s="117"/>
      <c r="BR113" s="117"/>
      <c r="BS113" s="117"/>
      <c r="BT113" s="117"/>
      <c r="BU113" s="117"/>
      <c r="BV113" s="117"/>
      <c r="BW113" s="117"/>
      <c r="BX113" s="117"/>
      <c r="BY113" s="117"/>
      <c r="BZ113" s="117"/>
      <c r="CA113" s="117"/>
      <c r="CB113" s="117"/>
      <c r="CC113" s="117"/>
      <c r="CD113" s="117"/>
      <c r="CE113" s="117"/>
      <c r="CF113" s="117"/>
      <c r="CG113" s="117"/>
      <c r="CH113" s="117"/>
      <c r="CI113" s="117"/>
      <c r="CJ113" s="117"/>
      <c r="CK113" s="117"/>
      <c r="CL113" s="117"/>
      <c r="CM113" s="117"/>
      <c r="CN113" s="117"/>
      <c r="CO113" s="117"/>
      <c r="CP113" s="117"/>
      <c r="CQ113" s="117"/>
      <c r="CR113" s="117"/>
      <c r="CS113" s="117"/>
      <c r="CT113" s="117"/>
      <c r="CU113" s="117"/>
      <c r="CV113" s="117"/>
      <c r="CW113" s="117"/>
      <c r="CX113" s="117"/>
      <c r="CY113" s="117"/>
      <c r="CZ113" s="117"/>
      <c r="DA113" s="117"/>
      <c r="DB113" s="117"/>
      <c r="DC113" s="117"/>
      <c r="DD113" s="117"/>
      <c r="DE113" s="117"/>
      <c r="DF113" s="117"/>
      <c r="DG113" s="117"/>
      <c r="DH113" s="117"/>
      <c r="DI113" s="117"/>
      <c r="DJ113" s="117"/>
      <c r="DK113" s="117"/>
      <c r="DL113" s="117"/>
      <c r="DM113" s="117"/>
    </row>
    <row r="114" spans="1:117" x14ac:dyDescent="0.25">
      <c r="B114" s="177"/>
      <c r="C114" s="179"/>
      <c r="D114" s="179"/>
      <c r="E114" s="163"/>
      <c r="F114" s="122"/>
      <c r="G114" s="151"/>
      <c r="H114" s="111"/>
      <c r="I114" s="198"/>
      <c r="J114" s="226"/>
      <c r="K114" s="380"/>
      <c r="L114" s="167"/>
      <c r="M114" s="361"/>
      <c r="N114" s="362">
        <f>SUM(M110:M113)</f>
        <v>0</v>
      </c>
      <c r="O114" s="590"/>
      <c r="P114" s="365">
        <f>SUM(O110:O113)</f>
        <v>0</v>
      </c>
    </row>
    <row r="115" spans="1:117" x14ac:dyDescent="0.25">
      <c r="B115" s="156" t="s">
        <v>198</v>
      </c>
      <c r="C115" s="179" t="s">
        <v>199</v>
      </c>
      <c r="D115" s="179"/>
      <c r="E115" s="158"/>
      <c r="F115" s="122"/>
      <c r="G115" s="151"/>
      <c r="H115" s="111"/>
      <c r="I115" s="198"/>
      <c r="J115" s="226"/>
      <c r="K115" s="199"/>
      <c r="L115" s="167"/>
      <c r="M115" s="361"/>
      <c r="O115" s="591"/>
      <c r="P115" s="368"/>
    </row>
    <row r="116" spans="1:117" x14ac:dyDescent="0.25">
      <c r="B116" s="177"/>
      <c r="C116" s="567" t="s">
        <v>200</v>
      </c>
      <c r="D116" s="567"/>
      <c r="E116" s="196" t="s">
        <v>201</v>
      </c>
      <c r="F116" s="122"/>
      <c r="G116" s="166" t="s">
        <v>202</v>
      </c>
      <c r="H116" s="553">
        <f>Vragenlijst!E46/100</f>
        <v>0</v>
      </c>
      <c r="I116" s="165">
        <v>2</v>
      </c>
      <c r="J116" s="224">
        <f>Uurtarieven!$C$13</f>
        <v>160</v>
      </c>
      <c r="K116" s="380">
        <f t="shared" ref="K116:K121" si="11">1+$D$8+$D$9+$D$11+$D$12</f>
        <v>1</v>
      </c>
      <c r="L116" s="167"/>
      <c r="M116" s="361">
        <f>IF(Vragenlijst!E57="ja",K116*J116*I116*H116,0)</f>
        <v>0</v>
      </c>
      <c r="N116" s="362"/>
      <c r="O116" s="590">
        <f>IF(Vragenlijst!E57="ja",H116*I116*K116,0)</f>
        <v>0</v>
      </c>
      <c r="P116" s="368"/>
    </row>
    <row r="117" spans="1:117" x14ac:dyDescent="0.25">
      <c r="B117" s="177"/>
      <c r="C117" s="554"/>
      <c r="D117" s="554"/>
      <c r="E117" s="196" t="s">
        <v>203</v>
      </c>
      <c r="F117" s="122"/>
      <c r="G117" s="166" t="s">
        <v>202</v>
      </c>
      <c r="H117" s="553">
        <f>Vragenlijst!E47/100</f>
        <v>0</v>
      </c>
      <c r="I117" s="165">
        <v>1</v>
      </c>
      <c r="J117" s="224">
        <f>Uurtarieven!$C$13</f>
        <v>160</v>
      </c>
      <c r="K117" s="380">
        <f t="shared" si="11"/>
        <v>1</v>
      </c>
      <c r="L117" s="167"/>
      <c r="M117" s="361">
        <f>IF(Vragenlijst!E57="ja",K117*J117*I117*H117,0)</f>
        <v>0</v>
      </c>
      <c r="N117" s="362"/>
      <c r="O117" s="590">
        <f>IF(Vragenlijst!E57="ja",H117*I117*K117,0)</f>
        <v>0</v>
      </c>
      <c r="P117" s="368"/>
    </row>
    <row r="118" spans="1:117" s="155" customFormat="1" x14ac:dyDescent="0.25">
      <c r="A118" s="117"/>
      <c r="B118" s="161"/>
      <c r="C118" s="555"/>
      <c r="D118" s="555"/>
      <c r="E118" s="196"/>
      <c r="F118" s="145"/>
      <c r="G118" s="166" t="s">
        <v>150</v>
      </c>
      <c r="H118" s="546">
        <f>'Staffels &amp; Tabellen'!$H$317</f>
        <v>0</v>
      </c>
      <c r="I118" s="165">
        <f>'Staffels &amp; Tabellen'!N299</f>
        <v>2.5</v>
      </c>
      <c r="J118" s="224">
        <f>Uurtarieven!$C$11</f>
        <v>181</v>
      </c>
      <c r="K118" s="380">
        <f t="shared" si="11"/>
        <v>1</v>
      </c>
      <c r="L118" s="167"/>
      <c r="M118" s="361">
        <f>IF(Vragenlijst!E57="ja",IF($H$116&gt;0,K118*J118*I118*H118,0),0)</f>
        <v>0</v>
      </c>
      <c r="N118" s="362"/>
      <c r="O118" s="590">
        <f>IF(Vragenlijst!E57="ja",IF($H$116&gt;0,H118*I118*K118,0),0)</f>
        <v>0</v>
      </c>
      <c r="P118" s="363"/>
      <c r="Q118" s="122"/>
      <c r="R118" s="122"/>
      <c r="S118" s="122"/>
      <c r="T118" s="122"/>
      <c r="U118" s="122"/>
      <c r="V118" s="122"/>
      <c r="W118" s="122"/>
      <c r="X118" s="122"/>
      <c r="Y118" s="122"/>
      <c r="Z118" s="122"/>
      <c r="AA118" s="122"/>
      <c r="AB118" s="122"/>
      <c r="AC118" s="122"/>
      <c r="AD118" s="122"/>
      <c r="AE118" s="122"/>
      <c r="AF118" s="122"/>
      <c r="AG118" s="122"/>
      <c r="AH118" s="122"/>
      <c r="AI118" s="122"/>
      <c r="AJ118" s="122"/>
      <c r="AK118" s="122"/>
      <c r="AL118" s="122"/>
      <c r="AM118" s="122"/>
      <c r="AN118" s="122"/>
      <c r="AO118" s="122"/>
      <c r="AP118" s="122"/>
      <c r="AQ118" s="122"/>
      <c r="AR118" s="117"/>
      <c r="AS118" s="117"/>
      <c r="AT118" s="117"/>
      <c r="AU118" s="117"/>
      <c r="AV118" s="117"/>
      <c r="AW118" s="117"/>
      <c r="AX118" s="117"/>
      <c r="AY118" s="117"/>
      <c r="AZ118" s="117"/>
      <c r="BA118" s="117"/>
      <c r="BB118" s="117"/>
      <c r="BC118" s="117"/>
      <c r="BD118" s="117"/>
      <c r="BE118" s="117"/>
      <c r="BF118" s="117"/>
      <c r="BG118" s="117"/>
      <c r="BH118" s="117"/>
      <c r="BI118" s="117"/>
      <c r="BJ118" s="117"/>
      <c r="BK118" s="117"/>
      <c r="BL118" s="117"/>
      <c r="BM118" s="117"/>
      <c r="BN118" s="117"/>
      <c r="BO118" s="117"/>
      <c r="BP118" s="117"/>
      <c r="BQ118" s="117"/>
      <c r="BR118" s="117"/>
      <c r="BS118" s="117"/>
      <c r="BT118" s="117"/>
      <c r="BU118" s="117"/>
      <c r="BV118" s="117"/>
      <c r="BW118" s="117"/>
      <c r="BX118" s="117"/>
      <c r="BY118" s="117"/>
      <c r="BZ118" s="117"/>
      <c r="CA118" s="117"/>
      <c r="CB118" s="117"/>
      <c r="CC118" s="117"/>
      <c r="CD118" s="117"/>
      <c r="CE118" s="117"/>
      <c r="CF118" s="117"/>
      <c r="CG118" s="117"/>
      <c r="CH118" s="117"/>
      <c r="CI118" s="117"/>
      <c r="CJ118" s="117"/>
      <c r="CK118" s="117"/>
      <c r="CL118" s="117"/>
      <c r="CM118" s="117"/>
      <c r="CN118" s="117"/>
      <c r="CO118" s="117"/>
      <c r="CP118" s="117"/>
      <c r="CQ118" s="117"/>
      <c r="CR118" s="117"/>
      <c r="CS118" s="117"/>
      <c r="CT118" s="117"/>
      <c r="CU118" s="117"/>
      <c r="CV118" s="117"/>
      <c r="CW118" s="117"/>
      <c r="CX118" s="117"/>
      <c r="CY118" s="117"/>
      <c r="CZ118" s="117"/>
      <c r="DA118" s="117"/>
      <c r="DB118" s="117"/>
      <c r="DC118" s="117"/>
      <c r="DD118" s="117"/>
      <c r="DE118" s="117"/>
      <c r="DF118" s="117"/>
      <c r="DG118" s="117"/>
      <c r="DH118" s="117"/>
      <c r="DI118" s="117"/>
      <c r="DJ118" s="117"/>
      <c r="DK118" s="117"/>
      <c r="DL118" s="117"/>
      <c r="DM118" s="117"/>
    </row>
    <row r="119" spans="1:117" s="155" customFormat="1" x14ac:dyDescent="0.25">
      <c r="A119" s="117"/>
      <c r="B119" s="161"/>
      <c r="C119" s="555"/>
      <c r="D119" s="555"/>
      <c r="E119" s="196"/>
      <c r="F119" s="145"/>
      <c r="G119" s="166" t="s">
        <v>156</v>
      </c>
      <c r="H119" s="546">
        <f>'Staffels &amp; Tabellen'!$H$317</f>
        <v>0</v>
      </c>
      <c r="I119" s="165">
        <f>'Staffels &amp; Tabellen'!N301</f>
        <v>1.25</v>
      </c>
      <c r="J119" s="224">
        <f>Uurtarieven!$C$10</f>
        <v>160</v>
      </c>
      <c r="K119" s="380">
        <f t="shared" si="11"/>
        <v>1</v>
      </c>
      <c r="L119" s="167"/>
      <c r="M119" s="361">
        <f>IF(Vragenlijst!E57="ja",IF($H$116&gt;0,K119*J119*I119*H119,0),0)</f>
        <v>0</v>
      </c>
      <c r="N119" s="362"/>
      <c r="O119" s="590">
        <f>IF(Vragenlijst!E57="ja",IF($H$116&gt;0,H119*I119*K119,0),0)</f>
        <v>0</v>
      </c>
      <c r="P119" s="363"/>
      <c r="Q119" s="122"/>
      <c r="R119" s="122"/>
      <c r="S119" s="122"/>
      <c r="T119" s="122"/>
      <c r="U119" s="122"/>
      <c r="V119" s="122"/>
      <c r="W119" s="122"/>
      <c r="X119" s="122"/>
      <c r="Y119" s="122"/>
      <c r="Z119" s="122"/>
      <c r="AA119" s="122"/>
      <c r="AB119" s="122"/>
      <c r="AC119" s="122"/>
      <c r="AD119" s="122"/>
      <c r="AE119" s="122"/>
      <c r="AF119" s="122"/>
      <c r="AG119" s="122"/>
      <c r="AH119" s="122"/>
      <c r="AI119" s="122"/>
      <c r="AJ119" s="122"/>
      <c r="AK119" s="122"/>
      <c r="AL119" s="122"/>
      <c r="AM119" s="122"/>
      <c r="AN119" s="122"/>
      <c r="AO119" s="122"/>
      <c r="AP119" s="122"/>
      <c r="AQ119" s="122"/>
      <c r="AR119" s="117"/>
      <c r="AS119" s="117"/>
      <c r="AT119" s="117"/>
      <c r="AU119" s="117"/>
      <c r="AV119" s="117"/>
      <c r="AW119" s="117"/>
      <c r="AX119" s="117"/>
      <c r="AY119" s="117"/>
      <c r="AZ119" s="117"/>
      <c r="BA119" s="117"/>
      <c r="BB119" s="117"/>
      <c r="BC119" s="117"/>
      <c r="BD119" s="117"/>
      <c r="BE119" s="117"/>
      <c r="BF119" s="117"/>
      <c r="BG119" s="117"/>
      <c r="BH119" s="117"/>
      <c r="BI119" s="117"/>
      <c r="BJ119" s="117"/>
      <c r="BK119" s="117"/>
      <c r="BL119" s="117"/>
      <c r="BM119" s="117"/>
      <c r="BN119" s="117"/>
      <c r="BO119" s="117"/>
      <c r="BP119" s="117"/>
      <c r="BQ119" s="117"/>
      <c r="BR119" s="117"/>
      <c r="BS119" s="117"/>
      <c r="BT119" s="117"/>
      <c r="BU119" s="117"/>
      <c r="BV119" s="117"/>
      <c r="BW119" s="117"/>
      <c r="BX119" s="117"/>
      <c r="BY119" s="117"/>
      <c r="BZ119" s="117"/>
      <c r="CA119" s="117"/>
      <c r="CB119" s="117"/>
      <c r="CC119" s="117"/>
      <c r="CD119" s="117"/>
      <c r="CE119" s="117"/>
      <c r="CF119" s="117"/>
      <c r="CG119" s="117"/>
      <c r="CH119" s="117"/>
      <c r="CI119" s="117"/>
      <c r="CJ119" s="117"/>
      <c r="CK119" s="117"/>
      <c r="CL119" s="117"/>
      <c r="CM119" s="117"/>
      <c r="CN119" s="117"/>
      <c r="CO119" s="117"/>
      <c r="CP119" s="117"/>
      <c r="CQ119" s="117"/>
      <c r="CR119" s="117"/>
      <c r="CS119" s="117"/>
      <c r="CT119" s="117"/>
      <c r="CU119" s="117"/>
      <c r="CV119" s="117"/>
      <c r="CW119" s="117"/>
      <c r="CX119" s="117"/>
      <c r="CY119" s="117"/>
      <c r="CZ119" s="117"/>
      <c r="DA119" s="117"/>
      <c r="DB119" s="117"/>
      <c r="DC119" s="117"/>
      <c r="DD119" s="117"/>
      <c r="DE119" s="117"/>
      <c r="DF119" s="117"/>
      <c r="DG119" s="117"/>
      <c r="DH119" s="117"/>
      <c r="DI119" s="117"/>
      <c r="DJ119" s="117"/>
      <c r="DK119" s="117"/>
      <c r="DL119" s="117"/>
      <c r="DM119" s="117"/>
    </row>
    <row r="120" spans="1:117" x14ac:dyDescent="0.25">
      <c r="B120" s="177"/>
      <c r="C120" s="554"/>
      <c r="D120" s="554"/>
      <c r="E120" s="196"/>
      <c r="F120" s="122"/>
      <c r="G120" s="166" t="s">
        <v>158</v>
      </c>
      <c r="H120" s="546">
        <f>'Staffels &amp; Tabellen'!$H$317</f>
        <v>0</v>
      </c>
      <c r="I120" s="165">
        <f>'Staffels &amp; Tabellen'!N303</f>
        <v>2.5</v>
      </c>
      <c r="J120" s="224">
        <f>Uurtarieven!$C$5</f>
        <v>140</v>
      </c>
      <c r="K120" s="380">
        <f t="shared" si="11"/>
        <v>1</v>
      </c>
      <c r="L120" s="167"/>
      <c r="M120" s="361">
        <f>IF(Vragenlijst!E57="ja",IF($H$116&gt;0,K120*J120*I120*H120,0),0)</f>
        <v>0</v>
      </c>
      <c r="N120" s="362"/>
      <c r="O120" s="590">
        <f>IF(Vragenlijst!E57="ja",IF($H$116&gt;0,H120*I120*K120,0),0)</f>
        <v>0</v>
      </c>
      <c r="P120" s="368"/>
    </row>
    <row r="121" spans="1:117" s="155" customFormat="1" x14ac:dyDescent="0.25">
      <c r="A121" s="117"/>
      <c r="B121" s="161"/>
      <c r="C121" s="555"/>
      <c r="D121" s="555"/>
      <c r="E121" s="196"/>
      <c r="F121" s="145"/>
      <c r="G121" s="166" t="s">
        <v>151</v>
      </c>
      <c r="H121" s="546">
        <f>'Staffels &amp; Tabellen'!$H$317</f>
        <v>0</v>
      </c>
      <c r="I121" s="165">
        <f>'Staffels &amp; Tabellen'!N305</f>
        <v>0.25</v>
      </c>
      <c r="J121" s="226">
        <f>Uurtarieven!$C$8</f>
        <v>126</v>
      </c>
      <c r="K121" s="380">
        <f t="shared" si="11"/>
        <v>1</v>
      </c>
      <c r="L121" s="167"/>
      <c r="M121" s="426">
        <f>IF(Vragenlijst!E57="ja",IF($H$116&gt;0,K121*J121*I121*H121,0),0)</f>
        <v>0</v>
      </c>
      <c r="N121" s="428"/>
      <c r="O121" s="427">
        <f>IF(Vragenlijst!E57="ja",IF($H$116&gt;0,H121*I121*K121,0),0)</f>
        <v>0</v>
      </c>
      <c r="P121" s="429"/>
      <c r="Q121" s="122"/>
      <c r="R121" s="122"/>
      <c r="S121" s="122"/>
      <c r="T121" s="122"/>
      <c r="U121" s="122"/>
      <c r="V121" s="122"/>
      <c r="W121" s="122"/>
      <c r="X121" s="122"/>
      <c r="Y121" s="122"/>
      <c r="Z121" s="122"/>
      <c r="AA121" s="122"/>
      <c r="AB121" s="122"/>
      <c r="AC121" s="122"/>
      <c r="AD121" s="122"/>
      <c r="AE121" s="122"/>
      <c r="AF121" s="122"/>
      <c r="AG121" s="122"/>
      <c r="AH121" s="122"/>
      <c r="AI121" s="122"/>
      <c r="AJ121" s="122"/>
      <c r="AK121" s="122"/>
      <c r="AL121" s="122"/>
      <c r="AM121" s="122"/>
      <c r="AN121" s="122"/>
      <c r="AO121" s="122"/>
      <c r="AP121" s="122"/>
      <c r="AQ121" s="122"/>
      <c r="AR121" s="117"/>
      <c r="AS121" s="117"/>
      <c r="AT121" s="117"/>
      <c r="AU121" s="117"/>
      <c r="AV121" s="117"/>
      <c r="AW121" s="117"/>
      <c r="AX121" s="117"/>
      <c r="AY121" s="117"/>
      <c r="AZ121" s="117"/>
      <c r="BA121" s="117"/>
      <c r="BB121" s="117"/>
      <c r="BC121" s="117"/>
      <c r="BD121" s="117"/>
      <c r="BE121" s="117"/>
      <c r="BF121" s="117"/>
      <c r="BG121" s="117"/>
      <c r="BH121" s="117"/>
      <c r="BI121" s="117"/>
      <c r="BJ121" s="117"/>
      <c r="BK121" s="117"/>
      <c r="BL121" s="117"/>
      <c r="BM121" s="117"/>
      <c r="BN121" s="117"/>
      <c r="BO121" s="117"/>
      <c r="BP121" s="117"/>
      <c r="BQ121" s="117"/>
      <c r="BR121" s="117"/>
      <c r="BS121" s="117"/>
      <c r="BT121" s="117"/>
      <c r="BU121" s="117"/>
      <c r="BV121" s="117"/>
      <c r="BW121" s="117"/>
      <c r="BX121" s="117"/>
      <c r="BY121" s="117"/>
      <c r="BZ121" s="117"/>
      <c r="CA121" s="117"/>
      <c r="CB121" s="117"/>
      <c r="CC121" s="117"/>
      <c r="CD121" s="117"/>
      <c r="CE121" s="117"/>
      <c r="CF121" s="117"/>
      <c r="CG121" s="117"/>
      <c r="CH121" s="117"/>
      <c r="CI121" s="117"/>
      <c r="CJ121" s="117"/>
      <c r="CK121" s="117"/>
      <c r="CL121" s="117"/>
      <c r="CM121" s="117"/>
      <c r="CN121" s="117"/>
      <c r="CO121" s="117"/>
      <c r="CP121" s="117"/>
      <c r="CQ121" s="117"/>
      <c r="CR121" s="117"/>
      <c r="CS121" s="117"/>
      <c r="CT121" s="117"/>
      <c r="CU121" s="117"/>
      <c r="CV121" s="117"/>
      <c r="CW121" s="117"/>
      <c r="CX121" s="117"/>
      <c r="CY121" s="117"/>
      <c r="CZ121" s="117"/>
      <c r="DA121" s="117"/>
      <c r="DB121" s="117"/>
      <c r="DC121" s="117"/>
      <c r="DD121" s="117"/>
      <c r="DE121" s="117"/>
      <c r="DF121" s="117"/>
      <c r="DG121" s="117"/>
      <c r="DH121" s="117"/>
      <c r="DI121" s="117"/>
      <c r="DJ121" s="117"/>
      <c r="DK121" s="117"/>
      <c r="DL121" s="117"/>
      <c r="DM121" s="117"/>
    </row>
    <row r="122" spans="1:117" s="155" customFormat="1" x14ac:dyDescent="0.25">
      <c r="A122" s="117"/>
      <c r="B122" s="161"/>
      <c r="C122" s="555"/>
      <c r="D122" s="555"/>
      <c r="E122" s="196"/>
      <c r="F122" s="145"/>
      <c r="G122" s="166"/>
      <c r="H122" s="551"/>
      <c r="I122" s="165"/>
      <c r="J122" s="226"/>
      <c r="K122" s="380"/>
      <c r="L122" s="167"/>
      <c r="M122" s="361"/>
      <c r="N122" s="362">
        <f>SUM(M116:M121)</f>
        <v>0</v>
      </c>
      <c r="O122" s="595"/>
      <c r="P122" s="365">
        <f>SUM(O116:O121)</f>
        <v>0</v>
      </c>
      <c r="Q122" s="122"/>
      <c r="R122" s="122"/>
      <c r="S122" s="122"/>
      <c r="T122" s="122"/>
      <c r="U122" s="122"/>
      <c r="V122" s="122"/>
      <c r="W122" s="122"/>
      <c r="X122" s="122"/>
      <c r="Y122" s="122"/>
      <c r="Z122" s="122"/>
      <c r="AA122" s="122"/>
      <c r="AB122" s="122"/>
      <c r="AC122" s="122"/>
      <c r="AD122" s="122"/>
      <c r="AE122" s="122"/>
      <c r="AF122" s="122"/>
      <c r="AG122" s="122"/>
      <c r="AH122" s="122"/>
      <c r="AI122" s="122"/>
      <c r="AJ122" s="122"/>
      <c r="AK122" s="122"/>
      <c r="AL122" s="122"/>
      <c r="AM122" s="122"/>
      <c r="AN122" s="122"/>
      <c r="AO122" s="122"/>
      <c r="AP122" s="122"/>
      <c r="AQ122" s="122"/>
      <c r="AR122" s="117"/>
      <c r="AS122" s="117"/>
      <c r="AT122" s="117"/>
      <c r="AU122" s="117"/>
      <c r="AV122" s="117"/>
      <c r="AW122" s="117"/>
      <c r="AX122" s="117"/>
      <c r="AY122" s="117"/>
      <c r="AZ122" s="117"/>
      <c r="BA122" s="117"/>
      <c r="BB122" s="117"/>
      <c r="BC122" s="117"/>
      <c r="BD122" s="117"/>
      <c r="BE122" s="117"/>
      <c r="BF122" s="117"/>
      <c r="BG122" s="117"/>
      <c r="BH122" s="117"/>
      <c r="BI122" s="117"/>
      <c r="BJ122" s="117"/>
      <c r="BK122" s="117"/>
      <c r="BL122" s="117"/>
      <c r="BM122" s="117"/>
      <c r="BN122" s="117"/>
      <c r="BO122" s="117"/>
      <c r="BP122" s="117"/>
      <c r="BQ122" s="117"/>
      <c r="BR122" s="117"/>
      <c r="BS122" s="117"/>
      <c r="BT122" s="117"/>
      <c r="BU122" s="117"/>
      <c r="BV122" s="117"/>
      <c r="BW122" s="117"/>
      <c r="BX122" s="117"/>
      <c r="BY122" s="117"/>
      <c r="BZ122" s="117"/>
      <c r="CA122" s="117"/>
      <c r="CB122" s="117"/>
      <c r="CC122" s="117"/>
      <c r="CD122" s="117"/>
      <c r="CE122" s="117"/>
      <c r="CF122" s="117"/>
      <c r="CG122" s="117"/>
      <c r="CH122" s="117"/>
      <c r="CI122" s="117"/>
      <c r="CJ122" s="117"/>
      <c r="CK122" s="117"/>
      <c r="CL122" s="117"/>
      <c r="CM122" s="117"/>
      <c r="CN122" s="117"/>
      <c r="CO122" s="117"/>
      <c r="CP122" s="117"/>
      <c r="CQ122" s="117"/>
      <c r="CR122" s="117"/>
      <c r="CS122" s="117"/>
      <c r="CT122" s="117"/>
      <c r="CU122" s="117"/>
      <c r="CV122" s="117"/>
      <c r="CW122" s="117"/>
      <c r="CX122" s="117"/>
      <c r="CY122" s="117"/>
      <c r="CZ122" s="117"/>
      <c r="DA122" s="117"/>
      <c r="DB122" s="117"/>
      <c r="DC122" s="117"/>
      <c r="DD122" s="117"/>
      <c r="DE122" s="117"/>
      <c r="DF122" s="117"/>
      <c r="DG122" s="117"/>
      <c r="DH122" s="117"/>
      <c r="DI122" s="117"/>
      <c r="DJ122" s="117"/>
      <c r="DK122" s="117"/>
      <c r="DL122" s="117"/>
      <c r="DM122" s="117"/>
    </row>
    <row r="123" spans="1:117" x14ac:dyDescent="0.25">
      <c r="B123" s="156" t="s">
        <v>204</v>
      </c>
      <c r="C123" s="556" t="s">
        <v>205</v>
      </c>
      <c r="D123" s="556"/>
      <c r="E123" s="557"/>
      <c r="F123" s="122"/>
      <c r="G123" s="151"/>
      <c r="H123" s="552"/>
      <c r="I123" s="558"/>
      <c r="J123" s="226"/>
      <c r="K123" s="154"/>
      <c r="L123" s="190"/>
      <c r="M123" s="373"/>
      <c r="O123" s="373"/>
      <c r="P123" s="163"/>
    </row>
    <row r="124" spans="1:117" x14ac:dyDescent="0.25">
      <c r="B124" s="177"/>
      <c r="C124" s="567" t="s">
        <v>200</v>
      </c>
      <c r="D124" s="567"/>
      <c r="E124" s="196" t="s">
        <v>206</v>
      </c>
      <c r="F124" s="122"/>
      <c r="G124" s="166" t="s">
        <v>207</v>
      </c>
      <c r="H124" s="549">
        <v>1</v>
      </c>
      <c r="I124" s="569">
        <f>'Onderbouwing CT'!K28</f>
        <v>0</v>
      </c>
      <c r="J124" s="226">
        <v>1</v>
      </c>
      <c r="K124" s="380">
        <f>1+$D$8+$D$9+$D$11+$D$12</f>
        <v>1</v>
      </c>
      <c r="L124" s="190"/>
      <c r="M124" s="361">
        <f>K124*J124*I124*H124</f>
        <v>0</v>
      </c>
      <c r="N124" s="179"/>
      <c r="O124" s="590">
        <f>'Onderbouwing CT'!L28*K124</f>
        <v>0</v>
      </c>
      <c r="P124" s="163"/>
    </row>
    <row r="125" spans="1:117" x14ac:dyDescent="0.25">
      <c r="B125" s="177"/>
      <c r="C125" s="559"/>
      <c r="D125" s="559"/>
      <c r="E125" s="196" t="s">
        <v>208</v>
      </c>
      <c r="F125" s="122"/>
      <c r="G125" s="166" t="s">
        <v>207</v>
      </c>
      <c r="H125" s="549">
        <f>IF(Vragenlijst!E115="Ja",1,0)</f>
        <v>0</v>
      </c>
      <c r="I125" s="569">
        <f>'Onderbouwing CT'!K76</f>
        <v>10192</v>
      </c>
      <c r="J125" s="226">
        <v>1</v>
      </c>
      <c r="K125" s="380">
        <v>1</v>
      </c>
      <c r="L125" s="190"/>
      <c r="M125" s="361">
        <f>K125*J125*I125*H125</f>
        <v>0</v>
      </c>
      <c r="N125" s="179"/>
      <c r="O125" s="373"/>
      <c r="P125" s="163"/>
    </row>
    <row r="126" spans="1:117" x14ac:dyDescent="0.25">
      <c r="B126" s="177"/>
      <c r="C126" s="559"/>
      <c r="D126" s="559"/>
      <c r="E126" s="196" t="s">
        <v>209</v>
      </c>
      <c r="F126" s="122"/>
      <c r="G126" s="166" t="s">
        <v>207</v>
      </c>
      <c r="H126" s="549">
        <v>1</v>
      </c>
      <c r="I126" s="569">
        <f>'Onderbouwing CT'!K65</f>
        <v>0</v>
      </c>
      <c r="J126" s="226">
        <v>1</v>
      </c>
      <c r="K126" s="380">
        <f>1+$D$8+$D$9+$D$11+$D$12</f>
        <v>1</v>
      </c>
      <c r="L126" s="190"/>
      <c r="M126" s="426">
        <f>K126*J126*I126*H126</f>
        <v>0</v>
      </c>
      <c r="N126" s="383"/>
      <c r="O126" s="427">
        <f>'Onderbouwing CT'!L65*K126</f>
        <v>0</v>
      </c>
      <c r="P126" s="434"/>
    </row>
    <row r="127" spans="1:117" s="155" customFormat="1" x14ac:dyDescent="0.25">
      <c r="A127" s="117"/>
      <c r="B127" s="161"/>
      <c r="C127" s="555"/>
      <c r="D127" s="555"/>
      <c r="E127" s="196" t="s">
        <v>210</v>
      </c>
      <c r="F127" s="145"/>
      <c r="G127" s="151"/>
      <c r="H127" s="551"/>
      <c r="I127" s="178"/>
      <c r="J127" s="226"/>
      <c r="K127" s="380"/>
      <c r="L127" s="167"/>
      <c r="M127" s="361"/>
      <c r="N127" s="374">
        <f>SUM(M124:M126)</f>
        <v>0</v>
      </c>
      <c r="O127" s="590"/>
      <c r="P127" s="365">
        <f>SUM(O124:O126)</f>
        <v>0</v>
      </c>
      <c r="Q127" s="122"/>
      <c r="R127" s="122"/>
      <c r="S127" s="122"/>
      <c r="T127" s="122"/>
      <c r="U127" s="122"/>
      <c r="V127" s="122"/>
      <c r="W127" s="122"/>
      <c r="X127" s="122"/>
      <c r="Y127" s="122"/>
      <c r="Z127" s="122"/>
      <c r="AA127" s="122"/>
      <c r="AB127" s="122"/>
      <c r="AC127" s="122"/>
      <c r="AD127" s="122"/>
      <c r="AE127" s="122"/>
      <c r="AF127" s="122"/>
      <c r="AG127" s="122"/>
      <c r="AH127" s="122"/>
      <c r="AI127" s="122"/>
      <c r="AJ127" s="122"/>
      <c r="AK127" s="122"/>
      <c r="AL127" s="122"/>
      <c r="AM127" s="122"/>
      <c r="AN127" s="122"/>
      <c r="AO127" s="122"/>
      <c r="AP127" s="122"/>
      <c r="AQ127" s="122"/>
      <c r="AR127" s="117"/>
      <c r="AS127" s="117"/>
      <c r="AT127" s="117"/>
      <c r="AU127" s="117"/>
      <c r="AV127" s="117"/>
      <c r="AW127" s="117"/>
      <c r="AX127" s="117"/>
      <c r="AY127" s="117"/>
      <c r="AZ127" s="117"/>
      <c r="BA127" s="117"/>
      <c r="BB127" s="117"/>
      <c r="BC127" s="117"/>
      <c r="BD127" s="117"/>
      <c r="BE127" s="117"/>
      <c r="BF127" s="117"/>
      <c r="BG127" s="117"/>
      <c r="BH127" s="117"/>
      <c r="BI127" s="117"/>
      <c r="BJ127" s="117"/>
      <c r="BK127" s="117"/>
      <c r="BL127" s="117"/>
      <c r="BM127" s="117"/>
      <c r="BN127" s="117"/>
      <c r="BO127" s="117"/>
      <c r="BP127" s="117"/>
      <c r="BQ127" s="117"/>
      <c r="BR127" s="117"/>
      <c r="BS127" s="117"/>
      <c r="BT127" s="117"/>
      <c r="BU127" s="117"/>
      <c r="BV127" s="117"/>
      <c r="BW127" s="117"/>
      <c r="BX127" s="117"/>
      <c r="BY127" s="117"/>
      <c r="BZ127" s="117"/>
      <c r="CA127" s="117"/>
      <c r="CB127" s="117"/>
      <c r="CC127" s="117"/>
      <c r="CD127" s="117"/>
      <c r="CE127" s="117"/>
      <c r="CF127" s="117"/>
      <c r="CG127" s="117"/>
      <c r="CH127" s="117"/>
      <c r="CI127" s="117"/>
      <c r="CJ127" s="117"/>
      <c r="CK127" s="117"/>
      <c r="CL127" s="117"/>
      <c r="CM127" s="117"/>
      <c r="CN127" s="117"/>
      <c r="CO127" s="117"/>
      <c r="CP127" s="117"/>
      <c r="CQ127" s="117"/>
      <c r="CR127" s="117"/>
      <c r="CS127" s="117"/>
      <c r="CT127" s="117"/>
      <c r="CU127" s="117"/>
      <c r="CV127" s="117"/>
      <c r="CW127" s="117"/>
      <c r="CX127" s="117"/>
      <c r="CY127" s="117"/>
      <c r="CZ127" s="117"/>
      <c r="DA127" s="117"/>
      <c r="DB127" s="117"/>
      <c r="DC127" s="117"/>
      <c r="DD127" s="117"/>
      <c r="DE127" s="117"/>
      <c r="DF127" s="117"/>
      <c r="DG127" s="117"/>
      <c r="DH127" s="117"/>
      <c r="DI127" s="117"/>
      <c r="DJ127" s="117"/>
      <c r="DK127" s="117"/>
      <c r="DL127" s="117"/>
      <c r="DM127" s="117"/>
    </row>
    <row r="128" spans="1:117" s="155" customFormat="1" x14ac:dyDescent="0.25">
      <c r="A128" s="117"/>
      <c r="B128" s="161"/>
      <c r="C128" s="555"/>
      <c r="D128" s="555"/>
      <c r="E128" s="196"/>
      <c r="F128" s="145"/>
      <c r="G128" s="151"/>
      <c r="H128" s="551"/>
      <c r="I128" s="178"/>
      <c r="J128" s="226"/>
      <c r="K128" s="380"/>
      <c r="L128" s="167"/>
      <c r="M128" s="361"/>
      <c r="N128" s="362"/>
      <c r="O128" s="590"/>
      <c r="P128" s="363"/>
      <c r="Q128" s="122"/>
      <c r="R128" s="122"/>
      <c r="S128" s="122"/>
      <c r="T128" s="122"/>
      <c r="U128" s="122"/>
      <c r="V128" s="122"/>
      <c r="W128" s="122"/>
      <c r="X128" s="122"/>
      <c r="Y128" s="122"/>
      <c r="Z128" s="122"/>
      <c r="AA128" s="122"/>
      <c r="AB128" s="122"/>
      <c r="AC128" s="122"/>
      <c r="AD128" s="122"/>
      <c r="AE128" s="122"/>
      <c r="AF128" s="122"/>
      <c r="AG128" s="122"/>
      <c r="AH128" s="122"/>
      <c r="AI128" s="122"/>
      <c r="AJ128" s="122"/>
      <c r="AK128" s="122"/>
      <c r="AL128" s="122"/>
      <c r="AM128" s="122"/>
      <c r="AN128" s="122"/>
      <c r="AO128" s="122"/>
      <c r="AP128" s="122"/>
      <c r="AQ128" s="122"/>
      <c r="AR128" s="117"/>
      <c r="AS128" s="117"/>
      <c r="AT128" s="117"/>
      <c r="AU128" s="117"/>
      <c r="AV128" s="117"/>
      <c r="AW128" s="117"/>
      <c r="AX128" s="117"/>
      <c r="AY128" s="117"/>
      <c r="AZ128" s="117"/>
      <c r="BA128" s="117"/>
      <c r="BB128" s="117"/>
      <c r="BC128" s="117"/>
      <c r="BD128" s="117"/>
      <c r="BE128" s="117"/>
      <c r="BF128" s="117"/>
      <c r="BG128" s="117"/>
      <c r="BH128" s="117"/>
      <c r="BI128" s="117"/>
      <c r="BJ128" s="117"/>
      <c r="BK128" s="117"/>
      <c r="BL128" s="117"/>
      <c r="BM128" s="117"/>
      <c r="BN128" s="117"/>
      <c r="BO128" s="117"/>
      <c r="BP128" s="117"/>
      <c r="BQ128" s="117"/>
      <c r="BR128" s="117"/>
      <c r="BS128" s="117"/>
      <c r="BT128" s="117"/>
      <c r="BU128" s="117"/>
      <c r="BV128" s="117"/>
      <c r="BW128" s="117"/>
      <c r="BX128" s="117"/>
      <c r="BY128" s="117"/>
      <c r="BZ128" s="117"/>
      <c r="CA128" s="117"/>
      <c r="CB128" s="117"/>
      <c r="CC128" s="117"/>
      <c r="CD128" s="117"/>
      <c r="CE128" s="117"/>
      <c r="CF128" s="117"/>
      <c r="CG128" s="117"/>
      <c r="CH128" s="117"/>
      <c r="CI128" s="117"/>
      <c r="CJ128" s="117"/>
      <c r="CK128" s="117"/>
      <c r="CL128" s="117"/>
      <c r="CM128" s="117"/>
      <c r="CN128" s="117"/>
      <c r="CO128" s="117"/>
      <c r="CP128" s="117"/>
      <c r="CQ128" s="117"/>
      <c r="CR128" s="117"/>
      <c r="CS128" s="117"/>
      <c r="CT128" s="117"/>
      <c r="CU128" s="117"/>
      <c r="CV128" s="117"/>
      <c r="CW128" s="117"/>
      <c r="CX128" s="117"/>
      <c r="CY128" s="117"/>
      <c r="CZ128" s="117"/>
      <c r="DA128" s="117"/>
      <c r="DB128" s="117"/>
      <c r="DC128" s="117"/>
      <c r="DD128" s="117"/>
      <c r="DE128" s="117"/>
      <c r="DF128" s="117"/>
      <c r="DG128" s="117"/>
      <c r="DH128" s="117"/>
      <c r="DI128" s="117"/>
      <c r="DJ128" s="117"/>
      <c r="DK128" s="117"/>
      <c r="DL128" s="117"/>
      <c r="DM128" s="117"/>
    </row>
    <row r="129" spans="1:117" s="155" customFormat="1" ht="14.4" thickBot="1" x14ac:dyDescent="0.3">
      <c r="A129" s="117"/>
      <c r="B129" s="156" t="s">
        <v>211</v>
      </c>
      <c r="C129" s="556" t="s">
        <v>212</v>
      </c>
      <c r="D129" s="556"/>
      <c r="E129" s="196"/>
      <c r="F129" s="145"/>
      <c r="G129" s="151"/>
      <c r="H129" s="551"/>
      <c r="I129" s="178"/>
      <c r="J129" s="226"/>
      <c r="K129" s="380"/>
      <c r="L129" s="167"/>
      <c r="M129" s="361"/>
      <c r="O129" s="590"/>
      <c r="P129" s="368"/>
      <c r="Q129" s="122"/>
      <c r="R129" s="122"/>
      <c r="S129" s="122"/>
      <c r="T129" s="122"/>
      <c r="U129" s="122"/>
      <c r="V129" s="122"/>
      <c r="W129" s="122"/>
      <c r="X129" s="122"/>
      <c r="Y129" s="122"/>
      <c r="Z129" s="122"/>
      <c r="AA129" s="122"/>
      <c r="AB129" s="122"/>
      <c r="AC129" s="122"/>
      <c r="AD129" s="122"/>
      <c r="AE129" s="122"/>
      <c r="AF129" s="122"/>
      <c r="AG129" s="122"/>
      <c r="AH129" s="122"/>
      <c r="AI129" s="122"/>
      <c r="AJ129" s="122"/>
      <c r="AK129" s="122"/>
      <c r="AL129" s="122"/>
      <c r="AM129" s="122"/>
      <c r="AN129" s="122"/>
      <c r="AO129" s="122"/>
      <c r="AP129" s="122"/>
      <c r="AQ129" s="122"/>
      <c r="AR129" s="117"/>
      <c r="AS129" s="117"/>
      <c r="AT129" s="117"/>
      <c r="AU129" s="117"/>
      <c r="AV129" s="117"/>
      <c r="AW129" s="117"/>
      <c r="AX129" s="117"/>
      <c r="AY129" s="117"/>
      <c r="AZ129" s="117"/>
      <c r="BA129" s="117"/>
      <c r="BB129" s="117"/>
      <c r="BC129" s="117"/>
      <c r="BD129" s="117"/>
      <c r="BE129" s="117"/>
      <c r="BF129" s="117"/>
      <c r="BG129" s="117"/>
      <c r="BH129" s="117"/>
      <c r="BI129" s="117"/>
      <c r="BJ129" s="117"/>
      <c r="BK129" s="117"/>
      <c r="BL129" s="117"/>
      <c r="BM129" s="117"/>
      <c r="BN129" s="117"/>
      <c r="BO129" s="117"/>
      <c r="BP129" s="117"/>
      <c r="BQ129" s="117"/>
      <c r="BR129" s="117"/>
      <c r="BS129" s="117"/>
      <c r="BT129" s="117"/>
      <c r="BU129" s="117"/>
      <c r="BV129" s="117"/>
      <c r="BW129" s="117"/>
      <c r="BX129" s="117"/>
      <c r="BY129" s="117"/>
      <c r="BZ129" s="117"/>
      <c r="CA129" s="117"/>
      <c r="CB129" s="117"/>
      <c r="CC129" s="117"/>
      <c r="CD129" s="117"/>
      <c r="CE129" s="117"/>
      <c r="CF129" s="117"/>
      <c r="CG129" s="117"/>
      <c r="CH129" s="117"/>
      <c r="CI129" s="117"/>
      <c r="CJ129" s="117"/>
      <c r="CK129" s="117"/>
      <c r="CL129" s="117"/>
      <c r="CM129" s="117"/>
      <c r="CN129" s="117"/>
      <c r="CO129" s="117"/>
      <c r="CP129" s="117"/>
      <c r="CQ129" s="117"/>
      <c r="CR129" s="117"/>
      <c r="CS129" s="117"/>
      <c r="CT129" s="117"/>
      <c r="CU129" s="117"/>
      <c r="CV129" s="117"/>
      <c r="CW129" s="117"/>
      <c r="CX129" s="117"/>
      <c r="CY129" s="117"/>
      <c r="CZ129" s="117"/>
      <c r="DA129" s="117"/>
      <c r="DB129" s="117"/>
      <c r="DC129" s="117"/>
      <c r="DD129" s="117"/>
      <c r="DE129" s="117"/>
      <c r="DF129" s="117"/>
      <c r="DG129" s="117"/>
      <c r="DH129" s="117"/>
      <c r="DI129" s="117"/>
      <c r="DJ129" s="117"/>
      <c r="DK129" s="117"/>
      <c r="DL129" s="117"/>
      <c r="DM129" s="117"/>
    </row>
    <row r="130" spans="1:117" s="155" customFormat="1" ht="14.4" thickBot="1" x14ac:dyDescent="0.3">
      <c r="A130" s="117"/>
      <c r="B130" s="201"/>
      <c r="C130" s="567" t="s">
        <v>213</v>
      </c>
      <c r="D130" s="567"/>
      <c r="E130" s="196" t="s">
        <v>214</v>
      </c>
      <c r="F130" s="145"/>
      <c r="G130" s="166" t="s">
        <v>150</v>
      </c>
      <c r="H130" s="560">
        <f>IF(Vragenlijst!E21&gt;0,(IF(K130&lt;=130%,2,IF(K130&lt;150%,3,IF(K130&gt;=150%,4,0))))+Vragenlijst!E21,0)</f>
        <v>0</v>
      </c>
      <c r="I130" s="165">
        <f>'Staffels &amp; Tabellen'!D149</f>
        <v>25</v>
      </c>
      <c r="J130" s="224">
        <f>Uurtarieven!$C$11</f>
        <v>181</v>
      </c>
      <c r="K130" s="380">
        <f t="shared" ref="K130:K137" si="12">1+$D$8+$D$9+$D$10+$D$11+$D$12</f>
        <v>1</v>
      </c>
      <c r="L130" s="167"/>
      <c r="M130" s="361">
        <f t="shared" ref="M130:M137" si="13">K130*J130*I130*H130</f>
        <v>0</v>
      </c>
      <c r="N130" s="362"/>
      <c r="O130" s="590">
        <f t="shared" ref="O130:O137" si="14">H130*I130*K130</f>
        <v>0</v>
      </c>
      <c r="P130" s="368"/>
      <c r="Q130" s="122"/>
      <c r="R130" s="71" t="s">
        <v>149</v>
      </c>
      <c r="S130" s="122"/>
      <c r="T130" s="122"/>
      <c r="U130" s="122"/>
      <c r="V130" s="122"/>
      <c r="W130" s="122"/>
      <c r="X130" s="122"/>
      <c r="Y130" s="122"/>
      <c r="Z130" s="122"/>
      <c r="AA130" s="122"/>
      <c r="AB130" s="122"/>
      <c r="AC130" s="122"/>
      <c r="AD130" s="122"/>
      <c r="AE130" s="122"/>
      <c r="AF130" s="122"/>
      <c r="AG130" s="122"/>
      <c r="AH130" s="122"/>
      <c r="AI130" s="122"/>
      <c r="AJ130" s="122"/>
      <c r="AK130" s="122"/>
      <c r="AL130" s="122"/>
      <c r="AM130" s="122"/>
      <c r="AN130" s="122"/>
      <c r="AO130" s="122"/>
      <c r="AP130" s="122"/>
      <c r="AQ130" s="122"/>
      <c r="AR130" s="117"/>
      <c r="AS130" s="117"/>
      <c r="AT130" s="117"/>
      <c r="AU130" s="117"/>
      <c r="AV130" s="117"/>
      <c r="AW130" s="117"/>
      <c r="AX130" s="117"/>
      <c r="AY130" s="117"/>
      <c r="AZ130" s="117"/>
      <c r="BA130" s="117"/>
      <c r="BB130" s="117"/>
      <c r="BC130" s="117"/>
      <c r="BD130" s="117"/>
      <c r="BE130" s="117"/>
      <c r="BF130" s="117"/>
      <c r="BG130" s="117"/>
      <c r="BH130" s="117"/>
      <c r="BI130" s="117"/>
      <c r="BJ130" s="117"/>
      <c r="BK130" s="117"/>
      <c r="BL130" s="117"/>
      <c r="BM130" s="117"/>
      <c r="BN130" s="117"/>
      <c r="BO130" s="117"/>
      <c r="BP130" s="117"/>
      <c r="BQ130" s="117"/>
      <c r="BR130" s="117"/>
      <c r="BS130" s="117"/>
      <c r="BT130" s="117"/>
      <c r="BU130" s="117"/>
      <c r="BV130" s="117"/>
      <c r="BW130" s="117"/>
      <c r="BX130" s="117"/>
      <c r="BY130" s="117"/>
      <c r="BZ130" s="117"/>
      <c r="CA130" s="117"/>
      <c r="CB130" s="117"/>
      <c r="CC130" s="117"/>
      <c r="CD130" s="117"/>
      <c r="CE130" s="117"/>
      <c r="CF130" s="117"/>
      <c r="CG130" s="117"/>
      <c r="CH130" s="117"/>
      <c r="CI130" s="117"/>
      <c r="CJ130" s="117"/>
      <c r="CK130" s="117"/>
      <c r="CL130" s="117"/>
      <c r="CM130" s="117"/>
      <c r="CN130" s="117"/>
      <c r="CO130" s="117"/>
      <c r="CP130" s="117"/>
      <c r="CQ130" s="117"/>
      <c r="CR130" s="117"/>
      <c r="CS130" s="117"/>
      <c r="CT130" s="117"/>
      <c r="CU130" s="117"/>
      <c r="CV130" s="117"/>
      <c r="CW130" s="117"/>
      <c r="CX130" s="117"/>
      <c r="CY130" s="117"/>
      <c r="CZ130" s="117"/>
      <c r="DA130" s="117"/>
      <c r="DB130" s="117"/>
      <c r="DC130" s="117"/>
      <c r="DD130" s="117"/>
      <c r="DE130" s="117"/>
      <c r="DF130" s="117"/>
      <c r="DG130" s="117"/>
      <c r="DH130" s="117"/>
      <c r="DI130" s="117"/>
      <c r="DJ130" s="117"/>
      <c r="DK130" s="117"/>
      <c r="DL130" s="117"/>
      <c r="DM130" s="117"/>
    </row>
    <row r="131" spans="1:117" s="155" customFormat="1" ht="14.4" thickBot="1" x14ac:dyDescent="0.3">
      <c r="A131" s="117"/>
      <c r="B131" s="161"/>
      <c r="C131" s="567"/>
      <c r="D131" s="567"/>
      <c r="E131" s="196" t="s">
        <v>215</v>
      </c>
      <c r="F131" s="145"/>
      <c r="G131" s="166" t="s">
        <v>216</v>
      </c>
      <c r="H131" s="560">
        <f>H130</f>
        <v>0</v>
      </c>
      <c r="I131" s="165">
        <f>I130*0.5</f>
        <v>12.5</v>
      </c>
      <c r="J131" s="226">
        <f>Uurtarieven!$C$12</f>
        <v>126</v>
      </c>
      <c r="K131" s="380">
        <f t="shared" si="12"/>
        <v>1</v>
      </c>
      <c r="L131" s="167"/>
      <c r="M131" s="361">
        <f t="shared" si="13"/>
        <v>0</v>
      </c>
      <c r="N131" s="362"/>
      <c r="O131" s="590">
        <f t="shared" si="14"/>
        <v>0</v>
      </c>
      <c r="P131" s="363"/>
      <c r="Q131" s="122"/>
      <c r="R131" s="122"/>
      <c r="S131" s="122"/>
      <c r="T131" s="122"/>
      <c r="U131" s="122"/>
      <c r="V131" s="122"/>
      <c r="W131" s="122"/>
      <c r="X131" s="122"/>
      <c r="Y131" s="122"/>
      <c r="Z131" s="122"/>
      <c r="AA131" s="122"/>
      <c r="AB131" s="122"/>
      <c r="AC131" s="122"/>
      <c r="AD131" s="122"/>
      <c r="AE131" s="122"/>
      <c r="AF131" s="122"/>
      <c r="AG131" s="122"/>
      <c r="AH131" s="122"/>
      <c r="AI131" s="122"/>
      <c r="AJ131" s="122"/>
      <c r="AK131" s="122"/>
      <c r="AL131" s="122"/>
      <c r="AM131" s="122"/>
      <c r="AN131" s="122"/>
      <c r="AO131" s="122"/>
      <c r="AP131" s="122"/>
      <c r="AQ131" s="122"/>
      <c r="AR131" s="117"/>
      <c r="AS131" s="117"/>
      <c r="AT131" s="117"/>
      <c r="AU131" s="117"/>
      <c r="AV131" s="117"/>
      <c r="AW131" s="117"/>
      <c r="AX131" s="117"/>
      <c r="AY131" s="117"/>
      <c r="AZ131" s="117"/>
      <c r="BA131" s="117"/>
      <c r="BB131" s="117"/>
      <c r="BC131" s="117"/>
      <c r="BD131" s="117"/>
      <c r="BE131" s="117"/>
      <c r="BF131" s="117"/>
      <c r="BG131" s="117"/>
      <c r="BH131" s="117"/>
      <c r="BI131" s="117"/>
      <c r="BJ131" s="117"/>
      <c r="BK131" s="117"/>
      <c r="BL131" s="117"/>
      <c r="BM131" s="117"/>
      <c r="BN131" s="117"/>
      <c r="BO131" s="117"/>
      <c r="BP131" s="117"/>
      <c r="BQ131" s="117"/>
      <c r="BR131" s="117"/>
      <c r="BS131" s="117"/>
      <c r="BT131" s="117"/>
      <c r="BU131" s="117"/>
      <c r="BV131" s="117"/>
      <c r="BW131" s="117"/>
      <c r="BX131" s="117"/>
      <c r="BY131" s="117"/>
      <c r="BZ131" s="117"/>
      <c r="CA131" s="117"/>
      <c r="CB131" s="117"/>
      <c r="CC131" s="117"/>
      <c r="CD131" s="117"/>
      <c r="CE131" s="117"/>
      <c r="CF131" s="117"/>
      <c r="CG131" s="117"/>
      <c r="CH131" s="117"/>
      <c r="CI131" s="117"/>
      <c r="CJ131" s="117"/>
      <c r="CK131" s="117"/>
      <c r="CL131" s="117"/>
      <c r="CM131" s="117"/>
      <c r="CN131" s="117"/>
      <c r="CO131" s="117"/>
      <c r="CP131" s="117"/>
      <c r="CQ131" s="117"/>
      <c r="CR131" s="117"/>
      <c r="CS131" s="117"/>
      <c r="CT131" s="117"/>
      <c r="CU131" s="117"/>
      <c r="CV131" s="117"/>
      <c r="CW131" s="117"/>
      <c r="CX131" s="117"/>
      <c r="CY131" s="117"/>
      <c r="CZ131" s="117"/>
      <c r="DA131" s="117"/>
      <c r="DB131" s="117"/>
      <c r="DC131" s="117"/>
      <c r="DD131" s="117"/>
      <c r="DE131" s="117"/>
      <c r="DF131" s="117"/>
      <c r="DG131" s="117"/>
      <c r="DH131" s="117"/>
      <c r="DI131" s="117"/>
      <c r="DJ131" s="117"/>
      <c r="DK131" s="117"/>
      <c r="DL131" s="117"/>
      <c r="DM131" s="117"/>
    </row>
    <row r="132" spans="1:117" s="155" customFormat="1" ht="14.4" thickBot="1" x14ac:dyDescent="0.3">
      <c r="A132" s="117"/>
      <c r="B132" s="161"/>
      <c r="C132" s="555"/>
      <c r="D132" s="555"/>
      <c r="E132" s="196" t="s">
        <v>217</v>
      </c>
      <c r="F132" s="145"/>
      <c r="G132" s="166" t="s">
        <v>156</v>
      </c>
      <c r="H132" s="560">
        <f>H130</f>
        <v>0</v>
      </c>
      <c r="I132" s="165">
        <f>'Staffels &amp; Tabellen'!D161</f>
        <v>40</v>
      </c>
      <c r="J132" s="224">
        <f>Uurtarieven!$C$10</f>
        <v>160</v>
      </c>
      <c r="K132" s="380">
        <f t="shared" si="12"/>
        <v>1</v>
      </c>
      <c r="L132" s="167"/>
      <c r="M132" s="361">
        <f t="shared" si="13"/>
        <v>0</v>
      </c>
      <c r="N132" s="362"/>
      <c r="O132" s="590">
        <f t="shared" si="14"/>
        <v>0</v>
      </c>
      <c r="P132" s="368"/>
      <c r="Q132" s="122"/>
      <c r="R132" s="71" t="s">
        <v>149</v>
      </c>
      <c r="S132" s="122"/>
      <c r="T132" s="122"/>
      <c r="U132" s="122"/>
      <c r="V132" s="122"/>
      <c r="W132" s="122"/>
      <c r="X132" s="122"/>
      <c r="Y132" s="122"/>
      <c r="Z132" s="122"/>
      <c r="AA132" s="122"/>
      <c r="AB132" s="122"/>
      <c r="AC132" s="122"/>
      <c r="AD132" s="122"/>
      <c r="AE132" s="122"/>
      <c r="AF132" s="122"/>
      <c r="AG132" s="122"/>
      <c r="AH132" s="122"/>
      <c r="AI132" s="122"/>
      <c r="AJ132" s="122"/>
      <c r="AK132" s="122"/>
      <c r="AL132" s="122"/>
      <c r="AM132" s="122"/>
      <c r="AN132" s="122"/>
      <c r="AO132" s="122"/>
      <c r="AP132" s="122"/>
      <c r="AQ132" s="122"/>
      <c r="AR132" s="117"/>
      <c r="AS132" s="117"/>
      <c r="AT132" s="117"/>
      <c r="AU132" s="117"/>
      <c r="AV132" s="117"/>
      <c r="AW132" s="117"/>
      <c r="AX132" s="117"/>
      <c r="AY132" s="117"/>
      <c r="AZ132" s="117"/>
      <c r="BA132" s="117"/>
      <c r="BB132" s="117"/>
      <c r="BC132" s="117"/>
      <c r="BD132" s="117"/>
      <c r="BE132" s="117"/>
      <c r="BF132" s="117"/>
      <c r="BG132" s="117"/>
      <c r="BH132" s="117"/>
      <c r="BI132" s="117"/>
      <c r="BJ132" s="117"/>
      <c r="BK132" s="117"/>
      <c r="BL132" s="117"/>
      <c r="BM132" s="117"/>
      <c r="BN132" s="117"/>
      <c r="BO132" s="117"/>
      <c r="BP132" s="117"/>
      <c r="BQ132" s="117"/>
      <c r="BR132" s="117"/>
      <c r="BS132" s="117"/>
      <c r="BT132" s="117"/>
      <c r="BU132" s="117"/>
      <c r="BV132" s="117"/>
      <c r="BW132" s="117"/>
      <c r="BX132" s="117"/>
      <c r="BY132" s="117"/>
      <c r="BZ132" s="117"/>
      <c r="CA132" s="117"/>
      <c r="CB132" s="117"/>
      <c r="CC132" s="117"/>
      <c r="CD132" s="117"/>
      <c r="CE132" s="117"/>
      <c r="CF132" s="117"/>
      <c r="CG132" s="117"/>
      <c r="CH132" s="117"/>
      <c r="CI132" s="117"/>
      <c r="CJ132" s="117"/>
      <c r="CK132" s="117"/>
      <c r="CL132" s="117"/>
      <c r="CM132" s="117"/>
      <c r="CN132" s="117"/>
      <c r="CO132" s="117"/>
      <c r="CP132" s="117"/>
      <c r="CQ132" s="117"/>
      <c r="CR132" s="117"/>
      <c r="CS132" s="117"/>
      <c r="CT132" s="117"/>
      <c r="CU132" s="117"/>
      <c r="CV132" s="117"/>
      <c r="CW132" s="117"/>
      <c r="CX132" s="117"/>
      <c r="CY132" s="117"/>
      <c r="CZ132" s="117"/>
      <c r="DA132" s="117"/>
      <c r="DB132" s="117"/>
      <c r="DC132" s="117"/>
      <c r="DD132" s="117"/>
      <c r="DE132" s="117"/>
      <c r="DF132" s="117"/>
      <c r="DG132" s="117"/>
      <c r="DH132" s="117"/>
      <c r="DI132" s="117"/>
      <c r="DJ132" s="117"/>
      <c r="DK132" s="117"/>
      <c r="DL132" s="117"/>
      <c r="DM132" s="117"/>
    </row>
    <row r="133" spans="1:117" s="155" customFormat="1" ht="14.4" thickBot="1" x14ac:dyDescent="0.3">
      <c r="A133" s="117"/>
      <c r="B133" s="161"/>
      <c r="C133" s="561"/>
      <c r="D133" s="561"/>
      <c r="E133" s="196" t="s">
        <v>218</v>
      </c>
      <c r="F133" s="145"/>
      <c r="G133" s="166" t="s">
        <v>150</v>
      </c>
      <c r="H133" s="560">
        <f>Vragenlijst!E21*42</f>
        <v>0</v>
      </c>
      <c r="I133" s="637">
        <f>'Staffels &amp; Tabellen'!D322</f>
        <v>1</v>
      </c>
      <c r="J133" s="224">
        <f>Uurtarieven!$C$11</f>
        <v>181</v>
      </c>
      <c r="K133" s="380">
        <f t="shared" si="12"/>
        <v>1</v>
      </c>
      <c r="L133" s="167"/>
      <c r="M133" s="361">
        <f t="shared" si="13"/>
        <v>0</v>
      </c>
      <c r="N133" s="362"/>
      <c r="O133" s="590">
        <f t="shared" si="14"/>
        <v>0</v>
      </c>
      <c r="P133" s="368"/>
      <c r="Q133" s="122"/>
      <c r="R133" s="71" t="s">
        <v>149</v>
      </c>
      <c r="S133" s="122"/>
      <c r="T133" s="122"/>
      <c r="U133" s="122"/>
      <c r="V133" s="122"/>
      <c r="W133" s="122"/>
      <c r="X133" s="122"/>
      <c r="Y133" s="122"/>
      <c r="Z133" s="122"/>
      <c r="AA133" s="122"/>
      <c r="AB133" s="122"/>
      <c r="AC133" s="122"/>
      <c r="AD133" s="122"/>
      <c r="AE133" s="122"/>
      <c r="AF133" s="122"/>
      <c r="AG133" s="122"/>
      <c r="AH133" s="122"/>
      <c r="AI133" s="122"/>
      <c r="AJ133" s="122"/>
      <c r="AK133" s="122"/>
      <c r="AL133" s="122"/>
      <c r="AM133" s="122"/>
      <c r="AN133" s="122"/>
      <c r="AO133" s="122"/>
      <c r="AP133" s="122"/>
      <c r="AQ133" s="122"/>
      <c r="AR133" s="117"/>
      <c r="AS133" s="117"/>
      <c r="AT133" s="117"/>
      <c r="AU133" s="117"/>
      <c r="AV133" s="117"/>
      <c r="AW133" s="117"/>
      <c r="AX133" s="117"/>
      <c r="AY133" s="117"/>
      <c r="AZ133" s="117"/>
      <c r="BA133" s="117"/>
      <c r="BB133" s="117"/>
      <c r="BC133" s="117"/>
      <c r="BD133" s="117"/>
      <c r="BE133" s="117"/>
      <c r="BF133" s="117"/>
      <c r="BG133" s="117"/>
      <c r="BH133" s="117"/>
      <c r="BI133" s="117"/>
      <c r="BJ133" s="117"/>
      <c r="BK133" s="117"/>
      <c r="BL133" s="117"/>
      <c r="BM133" s="117"/>
      <c r="BN133" s="117"/>
      <c r="BO133" s="117"/>
      <c r="BP133" s="117"/>
      <c r="BQ133" s="117"/>
      <c r="BR133" s="117"/>
      <c r="BS133" s="117"/>
      <c r="BT133" s="117"/>
      <c r="BU133" s="117"/>
      <c r="BV133" s="117"/>
      <c r="BW133" s="117"/>
      <c r="BX133" s="117"/>
      <c r="BY133" s="117"/>
      <c r="BZ133" s="117"/>
      <c r="CA133" s="117"/>
      <c r="CB133" s="117"/>
      <c r="CC133" s="117"/>
      <c r="CD133" s="117"/>
      <c r="CE133" s="117"/>
      <c r="CF133" s="117"/>
      <c r="CG133" s="117"/>
      <c r="CH133" s="117"/>
      <c r="CI133" s="117"/>
      <c r="CJ133" s="117"/>
      <c r="CK133" s="117"/>
      <c r="CL133" s="117"/>
      <c r="CM133" s="117"/>
      <c r="CN133" s="117"/>
      <c r="CO133" s="117"/>
      <c r="CP133" s="117"/>
      <c r="CQ133" s="117"/>
      <c r="CR133" s="117"/>
      <c r="CS133" s="117"/>
      <c r="CT133" s="117"/>
      <c r="CU133" s="117"/>
      <c r="CV133" s="117"/>
      <c r="CW133" s="117"/>
      <c r="CX133" s="117"/>
      <c r="CY133" s="117"/>
      <c r="CZ133" s="117"/>
      <c r="DA133" s="117"/>
      <c r="DB133" s="117"/>
      <c r="DC133" s="117"/>
      <c r="DD133" s="117"/>
      <c r="DE133" s="117"/>
      <c r="DF133" s="117"/>
      <c r="DG133" s="117"/>
      <c r="DH133" s="117"/>
      <c r="DI133" s="117"/>
      <c r="DJ133" s="117"/>
      <c r="DK133" s="117"/>
      <c r="DL133" s="117"/>
      <c r="DM133" s="117"/>
    </row>
    <row r="134" spans="1:117" s="155" customFormat="1" x14ac:dyDescent="0.25">
      <c r="A134" s="117"/>
      <c r="B134" s="161"/>
      <c r="C134" s="561"/>
      <c r="D134" s="561"/>
      <c r="E134" s="196" t="s">
        <v>219</v>
      </c>
      <c r="F134" s="145"/>
      <c r="G134" s="166" t="s">
        <v>216</v>
      </c>
      <c r="H134" s="560">
        <f>H133</f>
        <v>0</v>
      </c>
      <c r="I134" s="165">
        <f>I133*0.5</f>
        <v>0.5</v>
      </c>
      <c r="J134" s="226">
        <f>Uurtarieven!$C$12</f>
        <v>126</v>
      </c>
      <c r="K134" s="380">
        <f t="shared" si="12"/>
        <v>1</v>
      </c>
      <c r="L134" s="167"/>
      <c r="M134" s="361">
        <f t="shared" si="13"/>
        <v>0</v>
      </c>
      <c r="N134" s="362"/>
      <c r="O134" s="590">
        <f t="shared" si="14"/>
        <v>0</v>
      </c>
      <c r="P134" s="368"/>
      <c r="Q134" s="122"/>
      <c r="R134" s="122"/>
      <c r="S134" s="122"/>
      <c r="T134" s="122"/>
      <c r="U134" s="122"/>
      <c r="V134" s="122"/>
      <c r="W134" s="122"/>
      <c r="X134" s="122"/>
      <c r="Y134" s="122"/>
      <c r="Z134" s="122"/>
      <c r="AA134" s="122"/>
      <c r="AB134" s="122"/>
      <c r="AC134" s="122"/>
      <c r="AD134" s="122"/>
      <c r="AE134" s="122"/>
      <c r="AF134" s="122"/>
      <c r="AG134" s="122"/>
      <c r="AH134" s="122"/>
      <c r="AI134" s="122"/>
      <c r="AJ134" s="122"/>
      <c r="AK134" s="122"/>
      <c r="AL134" s="122"/>
      <c r="AM134" s="122"/>
      <c r="AN134" s="122"/>
      <c r="AO134" s="122"/>
      <c r="AP134" s="122"/>
      <c r="AQ134" s="122"/>
      <c r="AR134" s="117"/>
      <c r="AS134" s="117"/>
      <c r="AT134" s="117"/>
      <c r="AU134" s="117"/>
      <c r="AV134" s="117"/>
      <c r="AW134" s="117"/>
      <c r="AX134" s="117"/>
      <c r="AY134" s="117"/>
      <c r="AZ134" s="117"/>
      <c r="BA134" s="117"/>
      <c r="BB134" s="117"/>
      <c r="BC134" s="117"/>
      <c r="BD134" s="117"/>
      <c r="BE134" s="117"/>
      <c r="BF134" s="117"/>
      <c r="BG134" s="117"/>
      <c r="BH134" s="117"/>
      <c r="BI134" s="117"/>
      <c r="BJ134" s="117"/>
      <c r="BK134" s="117"/>
      <c r="BL134" s="117"/>
      <c r="BM134" s="117"/>
      <c r="BN134" s="117"/>
      <c r="BO134" s="117"/>
      <c r="BP134" s="117"/>
      <c r="BQ134" s="117"/>
      <c r="BR134" s="117"/>
      <c r="BS134" s="117"/>
      <c r="BT134" s="117"/>
      <c r="BU134" s="117"/>
      <c r="BV134" s="117"/>
      <c r="BW134" s="117"/>
      <c r="BX134" s="117"/>
      <c r="BY134" s="117"/>
      <c r="BZ134" s="117"/>
      <c r="CA134" s="117"/>
      <c r="CB134" s="117"/>
      <c r="CC134" s="117"/>
      <c r="CD134" s="117"/>
      <c r="CE134" s="117"/>
      <c r="CF134" s="117"/>
      <c r="CG134" s="117"/>
      <c r="CH134" s="117"/>
      <c r="CI134" s="117"/>
      <c r="CJ134" s="117"/>
      <c r="CK134" s="117"/>
      <c r="CL134" s="117"/>
      <c r="CM134" s="117"/>
      <c r="CN134" s="117"/>
      <c r="CO134" s="117"/>
      <c r="CP134" s="117"/>
      <c r="CQ134" s="117"/>
      <c r="CR134" s="117"/>
      <c r="CS134" s="117"/>
      <c r="CT134" s="117"/>
      <c r="CU134" s="117"/>
      <c r="CV134" s="117"/>
      <c r="CW134" s="117"/>
      <c r="CX134" s="117"/>
      <c r="CY134" s="117"/>
      <c r="CZ134" s="117"/>
      <c r="DA134" s="117"/>
      <c r="DB134" s="117"/>
      <c r="DC134" s="117"/>
      <c r="DD134" s="117"/>
      <c r="DE134" s="117"/>
      <c r="DF134" s="117"/>
      <c r="DG134" s="117"/>
      <c r="DH134" s="117"/>
      <c r="DI134" s="117"/>
      <c r="DJ134" s="117"/>
      <c r="DK134" s="117"/>
      <c r="DL134" s="117"/>
      <c r="DM134" s="117"/>
    </row>
    <row r="135" spans="1:117" s="155" customFormat="1" x14ac:dyDescent="0.25">
      <c r="A135" s="117"/>
      <c r="B135" s="161"/>
      <c r="C135" s="555"/>
      <c r="D135" s="555"/>
      <c r="E135" s="196" t="s">
        <v>220</v>
      </c>
      <c r="F135" s="145"/>
      <c r="G135" s="166" t="s">
        <v>156</v>
      </c>
      <c r="H135" s="560">
        <f>H133</f>
        <v>0</v>
      </c>
      <c r="I135" s="165">
        <f>I133*0.5</f>
        <v>0.5</v>
      </c>
      <c r="J135" s="224">
        <f>Uurtarieven!$C$10</f>
        <v>160</v>
      </c>
      <c r="K135" s="380">
        <f t="shared" si="12"/>
        <v>1</v>
      </c>
      <c r="L135" s="167"/>
      <c r="M135" s="361">
        <f t="shared" si="13"/>
        <v>0</v>
      </c>
      <c r="N135" s="362"/>
      <c r="O135" s="590">
        <f t="shared" si="14"/>
        <v>0</v>
      </c>
      <c r="P135" s="368"/>
      <c r="Q135" s="122"/>
      <c r="R135" s="122"/>
      <c r="S135" s="122"/>
      <c r="T135" s="122"/>
      <c r="U135" s="122"/>
      <c r="V135" s="122"/>
      <c r="W135" s="122"/>
      <c r="X135" s="122"/>
      <c r="Y135" s="122"/>
      <c r="Z135" s="122"/>
      <c r="AA135" s="122"/>
      <c r="AB135" s="122"/>
      <c r="AC135" s="122"/>
      <c r="AD135" s="122"/>
      <c r="AE135" s="122"/>
      <c r="AF135" s="122"/>
      <c r="AG135" s="122"/>
      <c r="AH135" s="122"/>
      <c r="AI135" s="122"/>
      <c r="AJ135" s="122"/>
      <c r="AK135" s="122"/>
      <c r="AL135" s="122"/>
      <c r="AM135" s="122"/>
      <c r="AN135" s="122"/>
      <c r="AO135" s="122"/>
      <c r="AP135" s="122"/>
      <c r="AQ135" s="122"/>
      <c r="AR135" s="117"/>
      <c r="AS135" s="117"/>
      <c r="AT135" s="117"/>
      <c r="AU135" s="117"/>
      <c r="AV135" s="117"/>
      <c r="AW135" s="117"/>
      <c r="AX135" s="117"/>
      <c r="AY135" s="117"/>
      <c r="AZ135" s="117"/>
      <c r="BA135" s="117"/>
      <c r="BB135" s="117"/>
      <c r="BC135" s="117"/>
      <c r="BD135" s="117"/>
      <c r="BE135" s="117"/>
      <c r="BF135" s="117"/>
      <c r="BG135" s="117"/>
      <c r="BH135" s="117"/>
      <c r="BI135" s="117"/>
      <c r="BJ135" s="117"/>
      <c r="BK135" s="117"/>
      <c r="BL135" s="117"/>
      <c r="BM135" s="117"/>
      <c r="BN135" s="117"/>
      <c r="BO135" s="117"/>
      <c r="BP135" s="117"/>
      <c r="BQ135" s="117"/>
      <c r="BR135" s="117"/>
      <c r="BS135" s="117"/>
      <c r="BT135" s="117"/>
      <c r="BU135" s="117"/>
      <c r="BV135" s="117"/>
      <c r="BW135" s="117"/>
      <c r="BX135" s="117"/>
      <c r="BY135" s="117"/>
      <c r="BZ135" s="117"/>
      <c r="CA135" s="117"/>
      <c r="CB135" s="117"/>
      <c r="CC135" s="117"/>
      <c r="CD135" s="117"/>
      <c r="CE135" s="117"/>
      <c r="CF135" s="117"/>
      <c r="CG135" s="117"/>
      <c r="CH135" s="117"/>
      <c r="CI135" s="117"/>
      <c r="CJ135" s="117"/>
      <c r="CK135" s="117"/>
      <c r="CL135" s="117"/>
      <c r="CM135" s="117"/>
      <c r="CN135" s="117"/>
      <c r="CO135" s="117"/>
      <c r="CP135" s="117"/>
      <c r="CQ135" s="117"/>
      <c r="CR135" s="117"/>
      <c r="CS135" s="117"/>
      <c r="CT135" s="117"/>
      <c r="CU135" s="117"/>
      <c r="CV135" s="117"/>
      <c r="CW135" s="117"/>
      <c r="CX135" s="117"/>
      <c r="CY135" s="117"/>
      <c r="CZ135" s="117"/>
      <c r="DA135" s="117"/>
      <c r="DB135" s="117"/>
      <c r="DC135" s="117"/>
      <c r="DD135" s="117"/>
      <c r="DE135" s="117"/>
      <c r="DF135" s="117"/>
      <c r="DG135" s="117"/>
      <c r="DH135" s="117"/>
      <c r="DI135" s="117"/>
      <c r="DJ135" s="117"/>
      <c r="DK135" s="117"/>
      <c r="DL135" s="117"/>
      <c r="DM135" s="117"/>
    </row>
    <row r="136" spans="1:117" s="155" customFormat="1" x14ac:dyDescent="0.25">
      <c r="A136" s="117"/>
      <c r="B136" s="161"/>
      <c r="C136" s="555"/>
      <c r="D136" s="555"/>
      <c r="E136" s="196" t="s">
        <v>221</v>
      </c>
      <c r="F136" s="145"/>
      <c r="G136" s="166" t="s">
        <v>155</v>
      </c>
      <c r="H136" s="560">
        <f>H133</f>
        <v>0</v>
      </c>
      <c r="I136" s="165">
        <f>I133*0.5</f>
        <v>0.5</v>
      </c>
      <c r="J136" s="224">
        <f>Uurtarieven!$C$13</f>
        <v>160</v>
      </c>
      <c r="K136" s="380">
        <f t="shared" si="12"/>
        <v>1</v>
      </c>
      <c r="L136" s="167"/>
      <c r="M136" s="361">
        <f t="shared" si="13"/>
        <v>0</v>
      </c>
      <c r="N136" s="362"/>
      <c r="O136" s="590">
        <f t="shared" si="14"/>
        <v>0</v>
      </c>
      <c r="P136" s="368"/>
      <c r="Q136" s="122"/>
      <c r="R136" s="122"/>
      <c r="S136" s="122"/>
      <c r="T136" s="122"/>
      <c r="U136" s="122"/>
      <c r="V136" s="122"/>
      <c r="W136" s="122"/>
      <c r="X136" s="122"/>
      <c r="Y136" s="122"/>
      <c r="Z136" s="122"/>
      <c r="AA136" s="122"/>
      <c r="AB136" s="122"/>
      <c r="AC136" s="122"/>
      <c r="AD136" s="122"/>
      <c r="AE136" s="122"/>
      <c r="AF136" s="122"/>
      <c r="AG136" s="122"/>
      <c r="AH136" s="122"/>
      <c r="AI136" s="122"/>
      <c r="AJ136" s="122"/>
      <c r="AK136" s="122"/>
      <c r="AL136" s="122"/>
      <c r="AM136" s="122"/>
      <c r="AN136" s="122"/>
      <c r="AO136" s="122"/>
      <c r="AP136" s="122"/>
      <c r="AQ136" s="122"/>
      <c r="AR136" s="117"/>
      <c r="AS136" s="117"/>
      <c r="AT136" s="117"/>
      <c r="AU136" s="117"/>
      <c r="AV136" s="117"/>
      <c r="AW136" s="117"/>
      <c r="AX136" s="117"/>
      <c r="AY136" s="117"/>
      <c r="AZ136" s="117"/>
      <c r="BA136" s="117"/>
      <c r="BB136" s="117"/>
      <c r="BC136" s="117"/>
      <c r="BD136" s="117"/>
      <c r="BE136" s="117"/>
      <c r="BF136" s="117"/>
      <c r="BG136" s="117"/>
      <c r="BH136" s="117"/>
      <c r="BI136" s="117"/>
      <c r="BJ136" s="117"/>
      <c r="BK136" s="117"/>
      <c r="BL136" s="117"/>
      <c r="BM136" s="117"/>
      <c r="BN136" s="117"/>
      <c r="BO136" s="117"/>
      <c r="BP136" s="117"/>
      <c r="BQ136" s="117"/>
      <c r="BR136" s="117"/>
      <c r="BS136" s="117"/>
      <c r="BT136" s="117"/>
      <c r="BU136" s="117"/>
      <c r="BV136" s="117"/>
      <c r="BW136" s="117"/>
      <c r="BX136" s="117"/>
      <c r="BY136" s="117"/>
      <c r="BZ136" s="117"/>
      <c r="CA136" s="117"/>
      <c r="CB136" s="117"/>
      <c r="CC136" s="117"/>
      <c r="CD136" s="117"/>
      <c r="CE136" s="117"/>
      <c r="CF136" s="117"/>
      <c r="CG136" s="117"/>
      <c r="CH136" s="117"/>
      <c r="CI136" s="117"/>
      <c r="CJ136" s="117"/>
      <c r="CK136" s="117"/>
      <c r="CL136" s="117"/>
      <c r="CM136" s="117"/>
      <c r="CN136" s="117"/>
      <c r="CO136" s="117"/>
      <c r="CP136" s="117"/>
      <c r="CQ136" s="117"/>
      <c r="CR136" s="117"/>
      <c r="CS136" s="117"/>
      <c r="CT136" s="117"/>
      <c r="CU136" s="117"/>
      <c r="CV136" s="117"/>
      <c r="CW136" s="117"/>
      <c r="CX136" s="117"/>
      <c r="CY136" s="117"/>
      <c r="CZ136" s="117"/>
      <c r="DA136" s="117"/>
      <c r="DB136" s="117"/>
      <c r="DC136" s="117"/>
      <c r="DD136" s="117"/>
      <c r="DE136" s="117"/>
      <c r="DF136" s="117"/>
      <c r="DG136" s="117"/>
      <c r="DH136" s="117"/>
      <c r="DI136" s="117"/>
      <c r="DJ136" s="117"/>
      <c r="DK136" s="117"/>
      <c r="DL136" s="117"/>
      <c r="DM136" s="117"/>
    </row>
    <row r="137" spans="1:117" s="155" customFormat="1" x14ac:dyDescent="0.25">
      <c r="A137" s="117"/>
      <c r="B137" s="161"/>
      <c r="C137" s="555"/>
      <c r="D137" s="555"/>
      <c r="E137" s="196" t="s">
        <v>222</v>
      </c>
      <c r="F137" s="145"/>
      <c r="G137" s="166" t="s">
        <v>168</v>
      </c>
      <c r="H137" s="560">
        <f>H133</f>
        <v>0</v>
      </c>
      <c r="I137" s="165">
        <f>I133*0.5</f>
        <v>0.5</v>
      </c>
      <c r="J137" s="224">
        <f>Uurtarieven!$C$6</f>
        <v>160</v>
      </c>
      <c r="K137" s="380">
        <f t="shared" si="12"/>
        <v>1</v>
      </c>
      <c r="L137" s="167"/>
      <c r="M137" s="426">
        <f t="shared" si="13"/>
        <v>0</v>
      </c>
      <c r="N137" s="428"/>
      <c r="O137" s="427">
        <f t="shared" si="14"/>
        <v>0</v>
      </c>
      <c r="P137" s="392"/>
      <c r="Q137" s="122"/>
      <c r="R137" s="122"/>
      <c r="S137" s="122"/>
      <c r="T137" s="122"/>
      <c r="U137" s="122"/>
      <c r="V137" s="122"/>
      <c r="W137" s="122"/>
      <c r="X137" s="122"/>
      <c r="Y137" s="122"/>
      <c r="Z137" s="122"/>
      <c r="AA137" s="122"/>
      <c r="AB137" s="122"/>
      <c r="AC137" s="122"/>
      <c r="AD137" s="122"/>
      <c r="AE137" s="122"/>
      <c r="AF137" s="122"/>
      <c r="AG137" s="122"/>
      <c r="AH137" s="122"/>
      <c r="AI137" s="122"/>
      <c r="AJ137" s="122"/>
      <c r="AK137" s="122"/>
      <c r="AL137" s="122"/>
      <c r="AM137" s="122"/>
      <c r="AN137" s="122"/>
      <c r="AO137" s="122"/>
      <c r="AP137" s="122"/>
      <c r="AQ137" s="122"/>
      <c r="AR137" s="117"/>
      <c r="AS137" s="117"/>
      <c r="AT137" s="117"/>
      <c r="AU137" s="117"/>
      <c r="AV137" s="117"/>
      <c r="AW137" s="117"/>
      <c r="AX137" s="117"/>
      <c r="AY137" s="117"/>
      <c r="AZ137" s="117"/>
      <c r="BA137" s="117"/>
      <c r="BB137" s="117"/>
      <c r="BC137" s="117"/>
      <c r="BD137" s="117"/>
      <c r="BE137" s="117"/>
      <c r="BF137" s="117"/>
      <c r="BG137" s="117"/>
      <c r="BH137" s="117"/>
      <c r="BI137" s="117"/>
      <c r="BJ137" s="117"/>
      <c r="BK137" s="117"/>
      <c r="BL137" s="117"/>
      <c r="BM137" s="117"/>
      <c r="BN137" s="117"/>
      <c r="BO137" s="117"/>
      <c r="BP137" s="117"/>
      <c r="BQ137" s="117"/>
      <c r="BR137" s="117"/>
      <c r="BS137" s="117"/>
      <c r="BT137" s="117"/>
      <c r="BU137" s="117"/>
      <c r="BV137" s="117"/>
      <c r="BW137" s="117"/>
      <c r="BX137" s="117"/>
      <c r="BY137" s="117"/>
      <c r="BZ137" s="117"/>
      <c r="CA137" s="117"/>
      <c r="CB137" s="117"/>
      <c r="CC137" s="117"/>
      <c r="CD137" s="117"/>
      <c r="CE137" s="117"/>
      <c r="CF137" s="117"/>
      <c r="CG137" s="117"/>
      <c r="CH137" s="117"/>
      <c r="CI137" s="117"/>
      <c r="CJ137" s="117"/>
      <c r="CK137" s="117"/>
      <c r="CL137" s="117"/>
      <c r="CM137" s="117"/>
      <c r="CN137" s="117"/>
      <c r="CO137" s="117"/>
      <c r="CP137" s="117"/>
      <c r="CQ137" s="117"/>
      <c r="CR137" s="117"/>
      <c r="CS137" s="117"/>
      <c r="CT137" s="117"/>
      <c r="CU137" s="117"/>
      <c r="CV137" s="117"/>
      <c r="CW137" s="117"/>
      <c r="CX137" s="117"/>
      <c r="CY137" s="117"/>
      <c r="CZ137" s="117"/>
      <c r="DA137" s="117"/>
      <c r="DB137" s="117"/>
      <c r="DC137" s="117"/>
      <c r="DD137" s="117"/>
      <c r="DE137" s="117"/>
      <c r="DF137" s="117"/>
      <c r="DG137" s="117"/>
      <c r="DH137" s="117"/>
      <c r="DI137" s="117"/>
      <c r="DJ137" s="117"/>
      <c r="DK137" s="117"/>
      <c r="DL137" s="117"/>
      <c r="DM137" s="117"/>
    </row>
    <row r="138" spans="1:117" s="155" customFormat="1" x14ac:dyDescent="0.25">
      <c r="A138" s="117"/>
      <c r="B138" s="161"/>
      <c r="C138" s="162"/>
      <c r="D138" s="162"/>
      <c r="E138" s="173"/>
      <c r="F138" s="145"/>
      <c r="G138" s="151"/>
      <c r="H138" s="82"/>
      <c r="I138" s="200"/>
      <c r="J138" s="228"/>
      <c r="K138" s="154"/>
      <c r="L138" s="167"/>
      <c r="M138" s="217"/>
      <c r="N138" s="362">
        <f>SUM(M130:M137)</f>
        <v>0</v>
      </c>
      <c r="O138" s="596"/>
      <c r="P138" s="375">
        <f>SUM(O130:O137)</f>
        <v>0</v>
      </c>
      <c r="Q138" s="122"/>
      <c r="R138" s="122"/>
      <c r="S138" s="122"/>
      <c r="T138" s="122"/>
      <c r="U138" s="122"/>
      <c r="V138" s="122"/>
      <c r="W138" s="122"/>
      <c r="X138" s="122"/>
      <c r="Y138" s="122"/>
      <c r="Z138" s="122"/>
      <c r="AA138" s="122"/>
      <c r="AB138" s="122"/>
      <c r="AC138" s="122"/>
      <c r="AD138" s="122"/>
      <c r="AE138" s="122"/>
      <c r="AF138" s="122"/>
      <c r="AG138" s="122"/>
      <c r="AH138" s="122"/>
      <c r="AI138" s="122"/>
      <c r="AJ138" s="122"/>
      <c r="AK138" s="122"/>
      <c r="AL138" s="122"/>
      <c r="AM138" s="122"/>
      <c r="AN138" s="122"/>
      <c r="AO138" s="122"/>
      <c r="AP138" s="122"/>
      <c r="AQ138" s="122"/>
      <c r="AR138" s="117"/>
      <c r="AS138" s="117"/>
      <c r="AT138" s="117"/>
      <c r="AU138" s="117"/>
      <c r="AV138" s="117"/>
      <c r="AW138" s="117"/>
      <c r="AX138" s="117"/>
      <c r="AY138" s="117"/>
      <c r="AZ138" s="117"/>
      <c r="BA138" s="117"/>
      <c r="BB138" s="117"/>
      <c r="BC138" s="117"/>
      <c r="BD138" s="117"/>
      <c r="BE138" s="117"/>
      <c r="BF138" s="117"/>
      <c r="BG138" s="117"/>
      <c r="BH138" s="117"/>
      <c r="BI138" s="117"/>
      <c r="BJ138" s="117"/>
      <c r="BK138" s="117"/>
      <c r="BL138" s="117"/>
      <c r="BM138" s="117"/>
      <c r="BN138" s="117"/>
      <c r="BO138" s="117"/>
      <c r="BP138" s="117"/>
      <c r="BQ138" s="117"/>
      <c r="BR138" s="117"/>
      <c r="BS138" s="117"/>
      <c r="BT138" s="117"/>
      <c r="BU138" s="117"/>
      <c r="BV138" s="117"/>
      <c r="BW138" s="117"/>
      <c r="BX138" s="117"/>
      <c r="BY138" s="117"/>
      <c r="BZ138" s="117"/>
      <c r="CA138" s="117"/>
      <c r="CB138" s="117"/>
      <c r="CC138" s="117"/>
      <c r="CD138" s="117"/>
      <c r="CE138" s="117"/>
      <c r="CF138" s="117"/>
      <c r="CG138" s="117"/>
      <c r="CH138" s="117"/>
      <c r="CI138" s="117"/>
      <c r="CJ138" s="117"/>
      <c r="CK138" s="117"/>
      <c r="CL138" s="117"/>
      <c r="CM138" s="117"/>
      <c r="CN138" s="117"/>
      <c r="CO138" s="117"/>
      <c r="CP138" s="117"/>
      <c r="CQ138" s="117"/>
      <c r="CR138" s="117"/>
      <c r="CS138" s="117"/>
      <c r="CT138" s="117"/>
      <c r="CU138" s="117"/>
      <c r="CV138" s="117"/>
      <c r="CW138" s="117"/>
      <c r="CX138" s="117"/>
      <c r="CY138" s="117"/>
      <c r="CZ138" s="117"/>
      <c r="DA138" s="117"/>
      <c r="DB138" s="117"/>
      <c r="DC138" s="117"/>
      <c r="DD138" s="117"/>
      <c r="DE138" s="117"/>
      <c r="DF138" s="117"/>
      <c r="DG138" s="117"/>
      <c r="DH138" s="117"/>
      <c r="DI138" s="117"/>
      <c r="DJ138" s="117"/>
      <c r="DK138" s="117"/>
      <c r="DL138" s="117"/>
      <c r="DM138" s="117"/>
    </row>
    <row r="139" spans="1:117" ht="5.0999999999999996" customHeight="1" thickBot="1" x14ac:dyDescent="0.3">
      <c r="A139" s="117"/>
      <c r="B139" s="161"/>
      <c r="C139" s="162"/>
      <c r="D139" s="162"/>
      <c r="E139" s="173"/>
      <c r="F139" s="145"/>
      <c r="G139" s="151"/>
      <c r="H139" s="82"/>
      <c r="I139" s="200"/>
      <c r="J139" s="228"/>
      <c r="K139" s="154"/>
      <c r="L139" s="167"/>
      <c r="M139" s="217"/>
      <c r="N139" s="362"/>
      <c r="O139" s="597"/>
      <c r="P139" s="375"/>
    </row>
    <row r="140" spans="1:117" s="182" customFormat="1" ht="13.05" customHeight="1" thickBot="1" x14ac:dyDescent="0.3">
      <c r="A140" s="117"/>
      <c r="B140" s="263"/>
      <c r="C140" s="264"/>
      <c r="D140" s="264"/>
      <c r="E140" s="264"/>
      <c r="F140" s="264"/>
      <c r="G140" s="264"/>
      <c r="H140" s="264"/>
      <c r="I140" s="264"/>
      <c r="J140" s="264"/>
      <c r="K140" s="264"/>
      <c r="L140" s="264"/>
      <c r="M140" s="264"/>
      <c r="N140" s="264"/>
      <c r="O140" s="264"/>
      <c r="P140" s="265"/>
      <c r="Q140" s="122"/>
      <c r="R140" s="122"/>
      <c r="S140" s="122"/>
      <c r="T140" s="122"/>
      <c r="U140" s="122"/>
      <c r="V140" s="122"/>
      <c r="W140" s="122"/>
      <c r="X140" s="122"/>
      <c r="Y140" s="122"/>
      <c r="Z140" s="122"/>
      <c r="AA140" s="122"/>
      <c r="AB140" s="122"/>
      <c r="AC140" s="122"/>
      <c r="AD140" s="122"/>
      <c r="AE140" s="122"/>
      <c r="AF140" s="122"/>
      <c r="AG140" s="122"/>
      <c r="AH140" s="122"/>
      <c r="AI140" s="122"/>
      <c r="AJ140" s="122"/>
      <c r="AK140" s="122"/>
      <c r="AL140" s="122"/>
      <c r="AM140" s="122"/>
      <c r="AN140" s="122"/>
      <c r="AO140" s="122"/>
      <c r="AP140" s="122"/>
      <c r="AQ140" s="122"/>
      <c r="AR140" s="115"/>
      <c r="AS140" s="115"/>
      <c r="AT140" s="115"/>
      <c r="AU140" s="115"/>
      <c r="AV140" s="115"/>
      <c r="AW140" s="115"/>
      <c r="AX140" s="115"/>
      <c r="AY140" s="115"/>
      <c r="AZ140" s="115"/>
      <c r="BA140" s="115"/>
      <c r="BB140" s="115"/>
      <c r="BC140" s="115"/>
      <c r="BD140" s="115"/>
      <c r="BE140" s="115"/>
      <c r="BF140" s="115"/>
      <c r="BG140" s="115"/>
      <c r="BH140" s="115"/>
      <c r="BI140" s="115"/>
      <c r="BJ140" s="115"/>
      <c r="BK140" s="115"/>
      <c r="BL140" s="115"/>
      <c r="BM140" s="115"/>
      <c r="BN140" s="115"/>
      <c r="BO140" s="115"/>
      <c r="BP140" s="115"/>
      <c r="BQ140" s="115"/>
      <c r="BR140" s="115"/>
      <c r="BS140" s="115"/>
      <c r="BT140" s="115"/>
      <c r="BU140" s="115"/>
      <c r="BV140" s="115"/>
      <c r="BW140" s="115"/>
      <c r="BX140" s="115"/>
      <c r="BY140" s="115"/>
      <c r="BZ140" s="115"/>
      <c r="CA140" s="115"/>
      <c r="CB140" s="115"/>
      <c r="CC140" s="115"/>
      <c r="CD140" s="115"/>
      <c r="CE140" s="115"/>
      <c r="CF140" s="115"/>
      <c r="CG140" s="115"/>
      <c r="CH140" s="115"/>
      <c r="CI140" s="115"/>
      <c r="CJ140" s="115"/>
      <c r="CK140" s="115"/>
      <c r="CL140" s="115"/>
      <c r="CM140" s="115"/>
      <c r="CN140" s="115"/>
      <c r="CO140" s="115"/>
      <c r="CP140" s="115"/>
      <c r="CQ140" s="115"/>
      <c r="CR140" s="115"/>
      <c r="CS140" s="115"/>
      <c r="CT140" s="115"/>
      <c r="CU140" s="115"/>
      <c r="CV140" s="115"/>
      <c r="CW140" s="115"/>
      <c r="CX140" s="115"/>
      <c r="CY140" s="115"/>
    </row>
    <row r="141" spans="1:117" s="115" customFormat="1" x14ac:dyDescent="0.25">
      <c r="A141" s="117"/>
      <c r="B141" s="116"/>
      <c r="G141" s="118"/>
      <c r="H141" s="102"/>
      <c r="I141" s="119"/>
      <c r="J141" s="229"/>
      <c r="N141" s="208"/>
      <c r="Q141" s="122"/>
      <c r="R141" s="122"/>
      <c r="S141" s="122"/>
      <c r="T141" s="122"/>
      <c r="U141" s="122"/>
      <c r="V141" s="122"/>
      <c r="W141" s="122"/>
      <c r="X141" s="122"/>
      <c r="Y141" s="122"/>
      <c r="Z141" s="122"/>
      <c r="AA141" s="122"/>
      <c r="AB141" s="122"/>
      <c r="AC141" s="122"/>
      <c r="AD141" s="122"/>
      <c r="AE141" s="122"/>
      <c r="AF141" s="122"/>
      <c r="AG141" s="122"/>
      <c r="AH141" s="122"/>
      <c r="AI141" s="122"/>
      <c r="AJ141" s="122"/>
      <c r="AK141" s="122"/>
      <c r="AL141" s="122"/>
      <c r="AM141" s="122"/>
      <c r="AN141" s="122"/>
      <c r="AO141" s="122"/>
      <c r="AP141" s="122"/>
      <c r="AQ141" s="122"/>
    </row>
    <row r="142" spans="1:117" s="115" customFormat="1" x14ac:dyDescent="0.25">
      <c r="B142" s="116"/>
      <c r="G142" s="118"/>
      <c r="H142" s="118"/>
      <c r="I142" s="118"/>
      <c r="J142" s="118"/>
      <c r="K142" s="118"/>
      <c r="N142" s="208"/>
      <c r="Q142" s="122"/>
      <c r="R142" s="122"/>
      <c r="S142" s="122"/>
      <c r="T142" s="122"/>
      <c r="U142" s="122"/>
      <c r="V142" s="122"/>
      <c r="W142" s="122"/>
      <c r="X142" s="122"/>
      <c r="Y142" s="122"/>
      <c r="Z142" s="122"/>
      <c r="AA142" s="122"/>
      <c r="AB142" s="122"/>
      <c r="AC142" s="122"/>
      <c r="AD142" s="122"/>
      <c r="AE142" s="122"/>
      <c r="AF142" s="122"/>
      <c r="AG142" s="122"/>
      <c r="AH142" s="122"/>
      <c r="AI142" s="122"/>
      <c r="AJ142" s="122"/>
      <c r="AK142" s="122"/>
      <c r="AL142" s="122"/>
      <c r="AM142" s="122"/>
      <c r="AN142" s="122"/>
      <c r="AO142" s="122"/>
      <c r="AP142" s="122"/>
      <c r="AQ142" s="122"/>
    </row>
    <row r="143" spans="1:117" s="115" customFormat="1" x14ac:dyDescent="0.25">
      <c r="B143" s="116"/>
      <c r="G143" s="118"/>
      <c r="H143" s="102"/>
      <c r="I143" s="119"/>
      <c r="J143" s="229"/>
      <c r="N143" s="208"/>
      <c r="Q143" s="122"/>
      <c r="R143" s="122"/>
      <c r="S143" s="122"/>
      <c r="T143" s="122"/>
      <c r="U143" s="122"/>
      <c r="V143" s="122"/>
      <c r="W143" s="122"/>
      <c r="X143" s="122"/>
      <c r="Y143" s="122"/>
      <c r="Z143" s="122"/>
      <c r="AA143" s="122"/>
      <c r="AB143" s="122"/>
      <c r="AC143" s="122"/>
      <c r="AD143" s="122"/>
      <c r="AE143" s="122"/>
      <c r="AF143" s="122"/>
      <c r="AG143" s="122"/>
      <c r="AH143" s="122"/>
      <c r="AI143" s="122"/>
      <c r="AJ143" s="122"/>
      <c r="AK143" s="122"/>
      <c r="AL143" s="122"/>
      <c r="AM143" s="122"/>
      <c r="AN143" s="122"/>
      <c r="AO143" s="122"/>
      <c r="AP143" s="122"/>
      <c r="AQ143" s="122"/>
    </row>
    <row r="144" spans="1:117" s="115" customFormat="1" x14ac:dyDescent="0.25">
      <c r="B144" s="116"/>
      <c r="G144" s="118"/>
      <c r="H144" s="102"/>
      <c r="I144" s="119"/>
      <c r="J144" s="229"/>
      <c r="N144" s="208"/>
      <c r="Q144" s="122"/>
      <c r="R144" s="122"/>
      <c r="S144" s="122"/>
      <c r="T144" s="122"/>
      <c r="U144" s="122"/>
      <c r="V144" s="122"/>
      <c r="W144" s="122"/>
      <c r="X144" s="122"/>
      <c r="Y144" s="122"/>
      <c r="Z144" s="122"/>
      <c r="AA144" s="122"/>
      <c r="AB144" s="122"/>
      <c r="AC144" s="122"/>
      <c r="AD144" s="122"/>
      <c r="AE144" s="122"/>
      <c r="AF144" s="122"/>
      <c r="AG144" s="122"/>
      <c r="AH144" s="122"/>
      <c r="AI144" s="122"/>
      <c r="AJ144" s="122"/>
      <c r="AK144" s="122"/>
      <c r="AL144" s="122"/>
      <c r="AM144" s="122"/>
      <c r="AN144" s="122"/>
      <c r="AO144" s="122"/>
      <c r="AP144" s="122"/>
      <c r="AQ144" s="122"/>
    </row>
    <row r="145" spans="2:43" s="115" customFormat="1" x14ac:dyDescent="0.25">
      <c r="B145" s="116"/>
      <c r="G145" s="118"/>
      <c r="H145" s="102"/>
      <c r="I145" s="119"/>
      <c r="J145" s="229"/>
      <c r="N145" s="208"/>
      <c r="Q145" s="122"/>
      <c r="R145" s="122"/>
      <c r="S145" s="122"/>
      <c r="T145" s="122"/>
      <c r="U145" s="122"/>
      <c r="V145" s="122"/>
      <c r="W145" s="122"/>
      <c r="X145" s="122"/>
      <c r="Y145" s="122"/>
      <c r="Z145" s="122"/>
      <c r="AA145" s="122"/>
      <c r="AB145" s="122"/>
      <c r="AC145" s="122"/>
      <c r="AD145" s="122"/>
      <c r="AE145" s="122"/>
      <c r="AF145" s="122"/>
      <c r="AG145" s="122"/>
      <c r="AH145" s="122"/>
      <c r="AI145" s="122"/>
      <c r="AJ145" s="122"/>
      <c r="AK145" s="122"/>
      <c r="AL145" s="122"/>
      <c r="AM145" s="122"/>
      <c r="AN145" s="122"/>
      <c r="AO145" s="122"/>
      <c r="AP145" s="122"/>
      <c r="AQ145" s="122"/>
    </row>
    <row r="146" spans="2:43" s="115" customFormat="1" x14ac:dyDescent="0.25">
      <c r="B146" s="116"/>
      <c r="G146" s="118"/>
      <c r="H146" s="423"/>
      <c r="I146" s="119"/>
      <c r="J146" s="229"/>
      <c r="N146" s="208"/>
      <c r="Q146" s="122"/>
      <c r="R146" s="122"/>
      <c r="S146" s="122"/>
      <c r="T146" s="122"/>
      <c r="U146" s="122"/>
      <c r="V146" s="122"/>
      <c r="W146" s="122"/>
      <c r="X146" s="122"/>
      <c r="Y146" s="122"/>
      <c r="Z146" s="122"/>
      <c r="AA146" s="122"/>
      <c r="AB146" s="122"/>
      <c r="AC146" s="122"/>
      <c r="AD146" s="122"/>
      <c r="AE146" s="122"/>
      <c r="AF146" s="122"/>
      <c r="AG146" s="122"/>
      <c r="AH146" s="122"/>
      <c r="AI146" s="122"/>
      <c r="AJ146" s="122"/>
      <c r="AK146" s="122"/>
      <c r="AL146" s="122"/>
      <c r="AM146" s="122"/>
      <c r="AN146" s="122"/>
      <c r="AO146" s="122"/>
      <c r="AP146" s="122"/>
      <c r="AQ146" s="122"/>
    </row>
    <row r="147" spans="2:43" s="115" customFormat="1" x14ac:dyDescent="0.25">
      <c r="B147" s="116"/>
      <c r="G147" s="118"/>
      <c r="H147" s="102"/>
      <c r="I147" s="119"/>
      <c r="J147" s="229"/>
      <c r="N147" s="208"/>
      <c r="Q147" s="122"/>
      <c r="R147" s="122"/>
      <c r="S147" s="122"/>
      <c r="T147" s="122"/>
      <c r="U147" s="122"/>
      <c r="V147" s="122"/>
      <c r="W147" s="122"/>
      <c r="X147" s="122"/>
      <c r="Y147" s="122"/>
      <c r="Z147" s="122"/>
      <c r="AA147" s="122"/>
      <c r="AB147" s="122"/>
      <c r="AC147" s="122"/>
      <c r="AD147" s="122"/>
      <c r="AE147" s="122"/>
      <c r="AF147" s="122"/>
      <c r="AG147" s="122"/>
      <c r="AH147" s="122"/>
      <c r="AI147" s="122"/>
      <c r="AJ147" s="122"/>
      <c r="AK147" s="122"/>
      <c r="AL147" s="122"/>
      <c r="AM147" s="122"/>
      <c r="AN147" s="122"/>
      <c r="AO147" s="122"/>
      <c r="AP147" s="122"/>
      <c r="AQ147" s="122"/>
    </row>
    <row r="148" spans="2:43" s="115" customFormat="1" x14ac:dyDescent="0.25">
      <c r="B148" s="116"/>
      <c r="G148" s="118"/>
      <c r="H148" s="102"/>
      <c r="I148" s="119"/>
      <c r="J148" s="229"/>
      <c r="N148" s="208"/>
      <c r="Q148" s="122"/>
      <c r="R148" s="122"/>
      <c r="S148" s="122"/>
      <c r="T148" s="122"/>
      <c r="U148" s="122"/>
      <c r="V148" s="122"/>
      <c r="W148" s="122"/>
      <c r="X148" s="122"/>
      <c r="Y148" s="122"/>
      <c r="Z148" s="122"/>
      <c r="AA148" s="122"/>
      <c r="AB148" s="122"/>
      <c r="AC148" s="122"/>
      <c r="AD148" s="122"/>
      <c r="AE148" s="122"/>
      <c r="AF148" s="122"/>
      <c r="AG148" s="122"/>
      <c r="AH148" s="122"/>
      <c r="AI148" s="122"/>
      <c r="AJ148" s="122"/>
      <c r="AK148" s="122"/>
      <c r="AL148" s="122"/>
      <c r="AM148" s="122"/>
      <c r="AN148" s="122"/>
      <c r="AO148" s="122"/>
      <c r="AP148" s="122"/>
      <c r="AQ148" s="122"/>
    </row>
    <row r="149" spans="2:43" s="115" customFormat="1" x14ac:dyDescent="0.25">
      <c r="B149" s="116"/>
      <c r="G149" s="118"/>
      <c r="H149" s="102"/>
      <c r="I149" s="119"/>
      <c r="J149" s="229"/>
      <c r="N149" s="208"/>
      <c r="Q149" s="122"/>
      <c r="R149" s="122"/>
      <c r="S149" s="122"/>
      <c r="T149" s="122"/>
      <c r="U149" s="122"/>
      <c r="V149" s="122"/>
      <c r="W149" s="122"/>
      <c r="X149" s="122"/>
      <c r="Y149" s="122"/>
      <c r="Z149" s="122"/>
      <c r="AA149" s="122"/>
      <c r="AB149" s="122"/>
      <c r="AC149" s="122"/>
      <c r="AD149" s="122"/>
      <c r="AE149" s="122"/>
      <c r="AF149" s="122"/>
      <c r="AG149" s="122"/>
      <c r="AH149" s="122"/>
      <c r="AI149" s="122"/>
      <c r="AJ149" s="122"/>
      <c r="AK149" s="122"/>
      <c r="AL149" s="122"/>
      <c r="AM149" s="122"/>
      <c r="AN149" s="122"/>
      <c r="AO149" s="122"/>
      <c r="AP149" s="122"/>
      <c r="AQ149" s="122"/>
    </row>
    <row r="150" spans="2:43" s="115" customFormat="1" x14ac:dyDescent="0.25">
      <c r="B150" s="116"/>
      <c r="G150" s="118"/>
      <c r="H150" s="102"/>
      <c r="I150" s="119"/>
      <c r="J150" s="229"/>
      <c r="N150" s="208"/>
      <c r="Q150" s="122"/>
      <c r="R150" s="122"/>
      <c r="S150" s="122"/>
      <c r="T150" s="122"/>
      <c r="U150" s="122"/>
      <c r="V150" s="122"/>
      <c r="W150" s="122"/>
      <c r="X150" s="122"/>
      <c r="Y150" s="122"/>
      <c r="Z150" s="122"/>
      <c r="AA150" s="122"/>
      <c r="AB150" s="122"/>
      <c r="AC150" s="122"/>
      <c r="AD150" s="122"/>
      <c r="AE150" s="122"/>
      <c r="AF150" s="122"/>
      <c r="AG150" s="122"/>
      <c r="AH150" s="122"/>
      <c r="AI150" s="122"/>
      <c r="AJ150" s="122"/>
      <c r="AK150" s="122"/>
      <c r="AL150" s="122"/>
      <c r="AM150" s="122"/>
      <c r="AN150" s="122"/>
      <c r="AO150" s="122"/>
      <c r="AP150" s="122"/>
      <c r="AQ150" s="122"/>
    </row>
    <row r="151" spans="2:43" s="115" customFormat="1" x14ac:dyDescent="0.25">
      <c r="B151" s="116"/>
      <c r="G151" s="118"/>
      <c r="H151" s="102"/>
      <c r="I151" s="119"/>
      <c r="J151" s="229"/>
      <c r="N151" s="208"/>
      <c r="Q151" s="122"/>
      <c r="R151" s="122"/>
      <c r="S151" s="122"/>
      <c r="T151" s="122"/>
      <c r="U151" s="122"/>
      <c r="V151" s="122"/>
      <c r="W151" s="122"/>
      <c r="X151" s="122"/>
      <c r="Y151" s="122"/>
      <c r="Z151" s="122"/>
      <c r="AA151" s="122"/>
      <c r="AB151" s="122"/>
      <c r="AC151" s="122"/>
      <c r="AD151" s="122"/>
      <c r="AE151" s="122"/>
      <c r="AF151" s="122"/>
      <c r="AG151" s="122"/>
      <c r="AH151" s="122"/>
      <c r="AI151" s="122"/>
      <c r="AJ151" s="122"/>
      <c r="AK151" s="122"/>
      <c r="AL151" s="122"/>
      <c r="AM151" s="122"/>
      <c r="AN151" s="122"/>
      <c r="AO151" s="122"/>
      <c r="AP151" s="122"/>
      <c r="AQ151" s="122"/>
    </row>
    <row r="152" spans="2:43" s="115" customFormat="1" x14ac:dyDescent="0.25">
      <c r="B152" s="116"/>
      <c r="G152" s="118"/>
      <c r="H152" s="102"/>
      <c r="I152" s="119"/>
      <c r="J152" s="229"/>
      <c r="N152" s="208"/>
      <c r="Q152" s="122"/>
      <c r="R152" s="122"/>
      <c r="S152" s="122"/>
      <c r="T152" s="122"/>
      <c r="U152" s="122"/>
      <c r="V152" s="122"/>
      <c r="W152" s="122"/>
      <c r="X152" s="122"/>
      <c r="Y152" s="122"/>
      <c r="Z152" s="122"/>
      <c r="AA152" s="122"/>
      <c r="AB152" s="122"/>
      <c r="AC152" s="122"/>
      <c r="AD152" s="122"/>
      <c r="AE152" s="122"/>
      <c r="AF152" s="122"/>
      <c r="AG152" s="122"/>
      <c r="AH152" s="122"/>
      <c r="AI152" s="122"/>
      <c r="AJ152" s="122"/>
      <c r="AK152" s="122"/>
      <c r="AL152" s="122"/>
      <c r="AM152" s="122"/>
      <c r="AN152" s="122"/>
      <c r="AO152" s="122"/>
      <c r="AP152" s="122"/>
      <c r="AQ152" s="122"/>
    </row>
    <row r="153" spans="2:43" s="115" customFormat="1" x14ac:dyDescent="0.25">
      <c r="B153" s="116"/>
      <c r="G153" s="118"/>
      <c r="H153" s="102"/>
      <c r="I153" s="119"/>
      <c r="J153" s="229"/>
      <c r="N153" s="208"/>
      <c r="Q153" s="122"/>
      <c r="R153" s="122"/>
      <c r="S153" s="122"/>
      <c r="T153" s="122"/>
      <c r="U153" s="122"/>
      <c r="V153" s="122"/>
      <c r="W153" s="122"/>
      <c r="X153" s="122"/>
      <c r="Y153" s="122"/>
      <c r="Z153" s="122"/>
      <c r="AA153" s="122"/>
      <c r="AB153" s="122"/>
      <c r="AC153" s="122"/>
      <c r="AD153" s="122"/>
      <c r="AE153" s="122"/>
      <c r="AF153" s="122"/>
      <c r="AG153" s="122"/>
      <c r="AH153" s="122"/>
      <c r="AI153" s="122"/>
      <c r="AJ153" s="122"/>
      <c r="AK153" s="122"/>
      <c r="AL153" s="122"/>
      <c r="AM153" s="122"/>
      <c r="AN153" s="122"/>
      <c r="AO153" s="122"/>
      <c r="AP153" s="122"/>
      <c r="AQ153" s="122"/>
    </row>
    <row r="154" spans="2:43" s="115" customFormat="1" x14ac:dyDescent="0.25">
      <c r="B154" s="116"/>
      <c r="G154" s="118"/>
      <c r="H154" s="102"/>
      <c r="I154" s="119"/>
      <c r="J154" s="229"/>
      <c r="N154" s="208"/>
      <c r="Q154" s="122"/>
      <c r="R154" s="122"/>
      <c r="S154" s="122"/>
      <c r="T154" s="122"/>
      <c r="U154" s="122"/>
      <c r="V154" s="122"/>
      <c r="W154" s="122"/>
      <c r="X154" s="122"/>
      <c r="Y154" s="122"/>
      <c r="Z154" s="122"/>
      <c r="AA154" s="122"/>
      <c r="AB154" s="122"/>
      <c r="AC154" s="122"/>
      <c r="AD154" s="122"/>
      <c r="AE154" s="122"/>
      <c r="AF154" s="122"/>
      <c r="AG154" s="122"/>
      <c r="AH154" s="122"/>
      <c r="AI154" s="122"/>
      <c r="AJ154" s="122"/>
      <c r="AK154" s="122"/>
      <c r="AL154" s="122"/>
      <c r="AM154" s="122"/>
      <c r="AN154" s="122"/>
      <c r="AO154" s="122"/>
      <c r="AP154" s="122"/>
      <c r="AQ154" s="122"/>
    </row>
    <row r="155" spans="2:43" s="115" customFormat="1" x14ac:dyDescent="0.25">
      <c r="B155" s="116"/>
      <c r="G155" s="118"/>
      <c r="H155" s="102"/>
      <c r="I155" s="119"/>
      <c r="J155" s="229"/>
      <c r="N155" s="208"/>
      <c r="Q155" s="122"/>
      <c r="R155" s="122"/>
      <c r="S155" s="122"/>
      <c r="T155" s="122"/>
      <c r="U155" s="122"/>
      <c r="V155" s="122"/>
      <c r="W155" s="122"/>
      <c r="X155" s="122"/>
      <c r="Y155" s="122"/>
      <c r="Z155" s="122"/>
      <c r="AA155" s="122"/>
      <c r="AB155" s="122"/>
      <c r="AC155" s="122"/>
      <c r="AD155" s="122"/>
      <c r="AE155" s="122"/>
      <c r="AF155" s="122"/>
      <c r="AG155" s="122"/>
      <c r="AH155" s="122"/>
      <c r="AI155" s="122"/>
      <c r="AJ155" s="122"/>
      <c r="AK155" s="122"/>
      <c r="AL155" s="122"/>
      <c r="AM155" s="122"/>
      <c r="AN155" s="122"/>
      <c r="AO155" s="122"/>
      <c r="AP155" s="122"/>
      <c r="AQ155" s="122"/>
    </row>
    <row r="156" spans="2:43" s="115" customFormat="1" x14ac:dyDescent="0.25">
      <c r="B156" s="116"/>
      <c r="G156" s="118"/>
      <c r="H156" s="102"/>
      <c r="I156" s="119"/>
      <c r="J156" s="229"/>
      <c r="N156" s="208"/>
      <c r="Q156" s="122"/>
      <c r="R156" s="122"/>
      <c r="S156" s="122"/>
      <c r="T156" s="122"/>
      <c r="U156" s="122"/>
      <c r="V156" s="122"/>
      <c r="W156" s="122"/>
      <c r="X156" s="122"/>
      <c r="Y156" s="122"/>
      <c r="Z156" s="122"/>
      <c r="AA156" s="122"/>
      <c r="AB156" s="122"/>
      <c r="AC156" s="122"/>
      <c r="AD156" s="122"/>
      <c r="AE156" s="122"/>
      <c r="AF156" s="122"/>
      <c r="AG156" s="122"/>
      <c r="AH156" s="122"/>
      <c r="AI156" s="122"/>
      <c r="AJ156" s="122"/>
      <c r="AK156" s="122"/>
      <c r="AL156" s="122"/>
      <c r="AM156" s="122"/>
      <c r="AN156" s="122"/>
      <c r="AO156" s="122"/>
      <c r="AP156" s="122"/>
      <c r="AQ156" s="122"/>
    </row>
    <row r="157" spans="2:43" s="115" customFormat="1" x14ac:dyDescent="0.25">
      <c r="B157" s="116"/>
      <c r="G157" s="118"/>
      <c r="H157" s="102"/>
      <c r="I157" s="119"/>
      <c r="J157" s="229"/>
      <c r="N157" s="208"/>
      <c r="Q157" s="122"/>
      <c r="R157" s="122"/>
      <c r="S157" s="122"/>
      <c r="T157" s="122"/>
      <c r="U157" s="122"/>
      <c r="V157" s="122"/>
      <c r="W157" s="122"/>
      <c r="X157" s="122"/>
      <c r="Y157" s="122"/>
      <c r="Z157" s="122"/>
      <c r="AA157" s="122"/>
      <c r="AB157" s="122"/>
      <c r="AC157" s="122"/>
      <c r="AD157" s="122"/>
      <c r="AE157" s="122"/>
      <c r="AF157" s="122"/>
      <c r="AG157" s="122"/>
      <c r="AH157" s="122"/>
      <c r="AI157" s="122"/>
      <c r="AJ157" s="122"/>
      <c r="AK157" s="122"/>
      <c r="AL157" s="122"/>
      <c r="AM157" s="122"/>
      <c r="AN157" s="122"/>
      <c r="AO157" s="122"/>
      <c r="AP157" s="122"/>
      <c r="AQ157" s="122"/>
    </row>
    <row r="158" spans="2:43" s="115" customFormat="1" x14ac:dyDescent="0.25">
      <c r="B158" s="116"/>
      <c r="G158" s="118"/>
      <c r="H158" s="102"/>
      <c r="I158" s="119"/>
      <c r="J158" s="229"/>
      <c r="N158" s="208"/>
      <c r="Q158" s="122"/>
      <c r="R158" s="122"/>
      <c r="S158" s="122"/>
      <c r="T158" s="122"/>
      <c r="U158" s="122"/>
      <c r="V158" s="122"/>
      <c r="W158" s="122"/>
      <c r="X158" s="122"/>
      <c r="Y158" s="122"/>
      <c r="Z158" s="122"/>
      <c r="AA158" s="122"/>
      <c r="AB158" s="122"/>
      <c r="AC158" s="122"/>
      <c r="AD158" s="122"/>
      <c r="AE158" s="122"/>
      <c r="AF158" s="122"/>
      <c r="AG158" s="122"/>
      <c r="AH158" s="122"/>
      <c r="AI158" s="122"/>
      <c r="AJ158" s="122"/>
      <c r="AK158" s="122"/>
      <c r="AL158" s="122"/>
      <c r="AM158" s="122"/>
      <c r="AN158" s="122"/>
      <c r="AO158" s="122"/>
      <c r="AP158" s="122"/>
      <c r="AQ158" s="122"/>
    </row>
    <row r="159" spans="2:43" s="115" customFormat="1" x14ac:dyDescent="0.25">
      <c r="B159" s="116"/>
      <c r="G159" s="118"/>
      <c r="H159" s="102"/>
      <c r="I159" s="119"/>
      <c r="J159" s="229"/>
      <c r="N159" s="208"/>
      <c r="Q159" s="122"/>
      <c r="R159" s="122"/>
      <c r="S159" s="122"/>
      <c r="T159" s="122"/>
      <c r="U159" s="122"/>
      <c r="V159" s="122"/>
      <c r="W159" s="122"/>
      <c r="X159" s="122"/>
      <c r="Y159" s="122"/>
      <c r="Z159" s="122"/>
      <c r="AA159" s="122"/>
      <c r="AB159" s="122"/>
      <c r="AC159" s="122"/>
      <c r="AD159" s="122"/>
      <c r="AE159" s="122"/>
      <c r="AF159" s="122"/>
      <c r="AG159" s="122"/>
      <c r="AH159" s="122"/>
      <c r="AI159" s="122"/>
      <c r="AJ159" s="122"/>
      <c r="AK159" s="122"/>
      <c r="AL159" s="122"/>
      <c r="AM159" s="122"/>
      <c r="AN159" s="122"/>
      <c r="AO159" s="122"/>
      <c r="AP159" s="122"/>
      <c r="AQ159" s="122"/>
    </row>
    <row r="160" spans="2:43" s="115" customFormat="1" x14ac:dyDescent="0.25">
      <c r="B160" s="116"/>
      <c r="G160" s="118"/>
      <c r="H160" s="102"/>
      <c r="I160" s="119"/>
      <c r="J160" s="229"/>
      <c r="N160" s="208"/>
      <c r="Q160" s="122"/>
      <c r="R160" s="122"/>
      <c r="S160" s="122"/>
      <c r="T160" s="122"/>
      <c r="U160" s="122"/>
      <c r="V160" s="122"/>
      <c r="W160" s="122"/>
      <c r="X160" s="122"/>
      <c r="Y160" s="122"/>
      <c r="Z160" s="122"/>
      <c r="AA160" s="122"/>
      <c r="AB160" s="122"/>
      <c r="AC160" s="122"/>
      <c r="AD160" s="122"/>
      <c r="AE160" s="122"/>
      <c r="AF160" s="122"/>
      <c r="AG160" s="122"/>
      <c r="AH160" s="122"/>
      <c r="AI160" s="122"/>
      <c r="AJ160" s="122"/>
      <c r="AK160" s="122"/>
      <c r="AL160" s="122"/>
      <c r="AM160" s="122"/>
      <c r="AN160" s="122"/>
      <c r="AO160" s="122"/>
      <c r="AP160" s="122"/>
      <c r="AQ160" s="122"/>
    </row>
    <row r="161" spans="2:43" s="115" customFormat="1" x14ac:dyDescent="0.25">
      <c r="B161" s="116"/>
      <c r="G161" s="118"/>
      <c r="H161" s="102"/>
      <c r="I161" s="119"/>
      <c r="J161" s="229"/>
      <c r="N161" s="208"/>
      <c r="Q161" s="122"/>
      <c r="R161" s="122"/>
      <c r="S161" s="122"/>
      <c r="T161" s="122"/>
      <c r="U161" s="122"/>
      <c r="V161" s="122"/>
      <c r="W161" s="122"/>
      <c r="X161" s="122"/>
      <c r="Y161" s="122"/>
      <c r="Z161" s="122"/>
      <c r="AA161" s="122"/>
      <c r="AB161" s="122"/>
      <c r="AC161" s="122"/>
      <c r="AD161" s="122"/>
      <c r="AE161" s="122"/>
      <c r="AF161" s="122"/>
      <c r="AG161" s="122"/>
      <c r="AH161" s="122"/>
      <c r="AI161" s="122"/>
      <c r="AJ161" s="122"/>
      <c r="AK161" s="122"/>
      <c r="AL161" s="122"/>
      <c r="AM161" s="122"/>
      <c r="AN161" s="122"/>
      <c r="AO161" s="122"/>
      <c r="AP161" s="122"/>
      <c r="AQ161" s="122"/>
    </row>
    <row r="162" spans="2:43" s="115" customFormat="1" x14ac:dyDescent="0.25">
      <c r="B162" s="116"/>
      <c r="G162" s="118"/>
      <c r="H162" s="102"/>
      <c r="I162" s="119"/>
      <c r="J162" s="229"/>
      <c r="N162" s="208"/>
      <c r="Q162" s="122"/>
      <c r="R162" s="122"/>
      <c r="S162" s="122"/>
      <c r="T162" s="122"/>
      <c r="U162" s="122"/>
      <c r="V162" s="122"/>
      <c r="W162" s="122"/>
      <c r="X162" s="122"/>
      <c r="Y162" s="122"/>
      <c r="Z162" s="122"/>
      <c r="AA162" s="122"/>
      <c r="AB162" s="122"/>
      <c r="AC162" s="122"/>
      <c r="AD162" s="122"/>
      <c r="AE162" s="122"/>
      <c r="AF162" s="122"/>
      <c r="AG162" s="122"/>
      <c r="AH162" s="122"/>
      <c r="AI162" s="122"/>
      <c r="AJ162" s="122"/>
      <c r="AK162" s="122"/>
      <c r="AL162" s="122"/>
      <c r="AM162" s="122"/>
      <c r="AN162" s="122"/>
      <c r="AO162" s="122"/>
      <c r="AP162" s="122"/>
      <c r="AQ162" s="122"/>
    </row>
    <row r="163" spans="2:43" s="115" customFormat="1" x14ac:dyDescent="0.25">
      <c r="B163" s="116"/>
      <c r="G163" s="118"/>
      <c r="H163" s="102"/>
      <c r="I163" s="119"/>
      <c r="J163" s="229"/>
      <c r="N163" s="208"/>
      <c r="Q163" s="122"/>
      <c r="R163" s="122"/>
      <c r="S163" s="122"/>
      <c r="T163" s="122"/>
      <c r="U163" s="122"/>
      <c r="V163" s="122"/>
      <c r="W163" s="122"/>
      <c r="X163" s="122"/>
      <c r="Y163" s="122"/>
      <c r="Z163" s="122"/>
      <c r="AA163" s="122"/>
      <c r="AB163" s="122"/>
      <c r="AC163" s="122"/>
      <c r="AD163" s="122"/>
      <c r="AE163" s="122"/>
      <c r="AF163" s="122"/>
      <c r="AG163" s="122"/>
      <c r="AH163" s="122"/>
      <c r="AI163" s="122"/>
      <c r="AJ163" s="122"/>
      <c r="AK163" s="122"/>
      <c r="AL163" s="122"/>
      <c r="AM163" s="122"/>
      <c r="AN163" s="122"/>
      <c r="AO163" s="122"/>
      <c r="AP163" s="122"/>
      <c r="AQ163" s="122"/>
    </row>
    <row r="164" spans="2:43" s="115" customFormat="1" x14ac:dyDescent="0.25">
      <c r="B164" s="116"/>
      <c r="G164" s="118"/>
      <c r="H164" s="102"/>
      <c r="I164" s="119"/>
      <c r="J164" s="229"/>
      <c r="N164" s="208"/>
      <c r="Q164" s="122"/>
      <c r="R164" s="122"/>
      <c r="S164" s="122"/>
      <c r="T164" s="122"/>
      <c r="U164" s="122"/>
      <c r="V164" s="122"/>
      <c r="W164" s="122"/>
      <c r="X164" s="122"/>
      <c r="Y164" s="122"/>
      <c r="Z164" s="122"/>
      <c r="AA164" s="122"/>
      <c r="AB164" s="122"/>
      <c r="AC164" s="122"/>
      <c r="AD164" s="122"/>
      <c r="AE164" s="122"/>
      <c r="AF164" s="122"/>
      <c r="AG164" s="122"/>
      <c r="AH164" s="122"/>
      <c r="AI164" s="122"/>
      <c r="AJ164" s="122"/>
      <c r="AK164" s="122"/>
      <c r="AL164" s="122"/>
      <c r="AM164" s="122"/>
      <c r="AN164" s="122"/>
      <c r="AO164" s="122"/>
      <c r="AP164" s="122"/>
      <c r="AQ164" s="122"/>
    </row>
    <row r="165" spans="2:43" s="115" customFormat="1" x14ac:dyDescent="0.25">
      <c r="B165" s="116"/>
      <c r="G165" s="118"/>
      <c r="H165" s="102"/>
      <c r="I165" s="119"/>
      <c r="J165" s="229"/>
      <c r="N165" s="208"/>
      <c r="Q165" s="122"/>
      <c r="R165" s="122"/>
      <c r="S165" s="122"/>
      <c r="T165" s="122"/>
      <c r="U165" s="122"/>
      <c r="V165" s="122"/>
      <c r="W165" s="122"/>
      <c r="X165" s="122"/>
      <c r="Y165" s="122"/>
      <c r="Z165" s="122"/>
      <c r="AA165" s="122"/>
      <c r="AB165" s="122"/>
      <c r="AC165" s="122"/>
      <c r="AD165" s="122"/>
      <c r="AE165" s="122"/>
      <c r="AF165" s="122"/>
      <c r="AG165" s="122"/>
      <c r="AH165" s="122"/>
      <c r="AI165" s="122"/>
      <c r="AJ165" s="122"/>
      <c r="AK165" s="122"/>
      <c r="AL165" s="122"/>
      <c r="AM165" s="122"/>
      <c r="AN165" s="122"/>
      <c r="AO165" s="122"/>
      <c r="AP165" s="122"/>
      <c r="AQ165" s="122"/>
    </row>
    <row r="166" spans="2:43" s="115" customFormat="1" x14ac:dyDescent="0.25">
      <c r="B166" s="116"/>
      <c r="G166" s="118"/>
      <c r="H166" s="102"/>
      <c r="I166" s="119"/>
      <c r="J166" s="229"/>
      <c r="N166" s="208"/>
      <c r="Q166" s="122"/>
      <c r="R166" s="122"/>
      <c r="S166" s="122"/>
      <c r="T166" s="122"/>
      <c r="U166" s="122"/>
      <c r="V166" s="122"/>
      <c r="W166" s="122"/>
      <c r="X166" s="122"/>
      <c r="Y166" s="122"/>
      <c r="Z166" s="122"/>
      <c r="AA166" s="122"/>
      <c r="AB166" s="122"/>
      <c r="AC166" s="122"/>
      <c r="AD166" s="122"/>
      <c r="AE166" s="122"/>
      <c r="AF166" s="122"/>
      <c r="AG166" s="122"/>
      <c r="AH166" s="122"/>
      <c r="AI166" s="122"/>
      <c r="AJ166" s="122"/>
      <c r="AK166" s="122"/>
      <c r="AL166" s="122"/>
      <c r="AM166" s="122"/>
      <c r="AN166" s="122"/>
      <c r="AO166" s="122"/>
      <c r="AP166" s="122"/>
      <c r="AQ166" s="122"/>
    </row>
    <row r="167" spans="2:43" s="115" customFormat="1" x14ac:dyDescent="0.25">
      <c r="B167" s="116"/>
      <c r="G167" s="118"/>
      <c r="H167" s="102"/>
      <c r="I167" s="119"/>
      <c r="J167" s="229"/>
      <c r="N167" s="208"/>
      <c r="Q167" s="122"/>
      <c r="R167" s="122"/>
      <c r="S167" s="122"/>
      <c r="T167" s="122"/>
      <c r="U167" s="122"/>
      <c r="V167" s="122"/>
      <c r="W167" s="122"/>
      <c r="X167" s="122"/>
      <c r="Y167" s="122"/>
      <c r="Z167" s="122"/>
      <c r="AA167" s="122"/>
      <c r="AB167" s="122"/>
      <c r="AC167" s="122"/>
      <c r="AD167" s="122"/>
      <c r="AE167" s="122"/>
      <c r="AF167" s="122"/>
      <c r="AG167" s="122"/>
      <c r="AH167" s="122"/>
      <c r="AI167" s="122"/>
      <c r="AJ167" s="122"/>
      <c r="AK167" s="122"/>
      <c r="AL167" s="122"/>
      <c r="AM167" s="122"/>
      <c r="AN167" s="122"/>
      <c r="AO167" s="122"/>
      <c r="AP167" s="122"/>
      <c r="AQ167" s="122"/>
    </row>
    <row r="168" spans="2:43" s="115" customFormat="1" x14ac:dyDescent="0.25">
      <c r="B168" s="116"/>
      <c r="G168" s="118"/>
      <c r="H168" s="102"/>
      <c r="I168" s="119"/>
      <c r="J168" s="229"/>
      <c r="N168" s="208"/>
      <c r="Q168" s="122"/>
      <c r="R168" s="122"/>
      <c r="S168" s="122"/>
      <c r="T168" s="122"/>
      <c r="U168" s="122"/>
      <c r="V168" s="122"/>
      <c r="W168" s="122"/>
      <c r="X168" s="122"/>
      <c r="Y168" s="122"/>
      <c r="Z168" s="122"/>
      <c r="AA168" s="122"/>
      <c r="AB168" s="122"/>
      <c r="AC168" s="122"/>
      <c r="AD168" s="122"/>
      <c r="AE168" s="122"/>
      <c r="AF168" s="122"/>
      <c r="AG168" s="122"/>
      <c r="AH168" s="122"/>
      <c r="AI168" s="122"/>
      <c r="AJ168" s="122"/>
      <c r="AK168" s="122"/>
      <c r="AL168" s="122"/>
      <c r="AM168" s="122"/>
      <c r="AN168" s="122"/>
      <c r="AO168" s="122"/>
      <c r="AP168" s="122"/>
      <c r="AQ168" s="122"/>
    </row>
    <row r="169" spans="2:43" s="115" customFormat="1" x14ac:dyDescent="0.25">
      <c r="B169" s="116"/>
      <c r="G169" s="118"/>
      <c r="H169" s="102"/>
      <c r="I169" s="119"/>
      <c r="J169" s="229"/>
      <c r="N169" s="208"/>
      <c r="Q169" s="122"/>
      <c r="R169" s="122"/>
      <c r="S169" s="122"/>
      <c r="T169" s="122"/>
      <c r="U169" s="122"/>
      <c r="V169" s="122"/>
      <c r="W169" s="122"/>
      <c r="X169" s="122"/>
      <c r="Y169" s="122"/>
      <c r="Z169" s="122"/>
      <c r="AA169" s="122"/>
      <c r="AB169" s="122"/>
      <c r="AC169" s="122"/>
      <c r="AD169" s="122"/>
      <c r="AE169" s="122"/>
      <c r="AF169" s="122"/>
      <c r="AG169" s="122"/>
      <c r="AH169" s="122"/>
      <c r="AI169" s="122"/>
      <c r="AJ169" s="122"/>
      <c r="AK169" s="122"/>
      <c r="AL169" s="122"/>
      <c r="AM169" s="122"/>
      <c r="AN169" s="122"/>
      <c r="AO169" s="122"/>
      <c r="AP169" s="122"/>
      <c r="AQ169" s="122"/>
    </row>
    <row r="170" spans="2:43" s="115" customFormat="1" x14ac:dyDescent="0.25">
      <c r="B170" s="116"/>
      <c r="G170" s="118"/>
      <c r="H170" s="102"/>
      <c r="I170" s="119"/>
      <c r="J170" s="229"/>
      <c r="N170" s="208"/>
      <c r="Q170" s="122"/>
      <c r="R170" s="122"/>
      <c r="S170" s="122"/>
      <c r="T170" s="122"/>
      <c r="U170" s="122"/>
      <c r="V170" s="122"/>
      <c r="W170" s="122"/>
      <c r="X170" s="122"/>
      <c r="Y170" s="122"/>
      <c r="Z170" s="122"/>
      <c r="AA170" s="122"/>
      <c r="AB170" s="122"/>
      <c r="AC170" s="122"/>
      <c r="AD170" s="122"/>
      <c r="AE170" s="122"/>
      <c r="AF170" s="122"/>
      <c r="AG170" s="122"/>
      <c r="AH170" s="122"/>
      <c r="AI170" s="122"/>
      <c r="AJ170" s="122"/>
      <c r="AK170" s="122"/>
      <c r="AL170" s="122"/>
      <c r="AM170" s="122"/>
      <c r="AN170" s="122"/>
      <c r="AO170" s="122"/>
      <c r="AP170" s="122"/>
      <c r="AQ170" s="122"/>
    </row>
    <row r="171" spans="2:43" x14ac:dyDescent="0.25">
      <c r="F171" s="123"/>
      <c r="G171" s="203"/>
      <c r="H171" s="113"/>
      <c r="I171" s="204"/>
      <c r="K171" s="123"/>
      <c r="L171" s="123"/>
      <c r="M171" s="123"/>
      <c r="P171" s="123"/>
    </row>
    <row r="172" spans="2:43" x14ac:dyDescent="0.25">
      <c r="F172" s="123"/>
      <c r="G172" s="203"/>
      <c r="H172" s="113"/>
      <c r="I172" s="204"/>
      <c r="K172" s="123"/>
      <c r="L172" s="123"/>
      <c r="M172" s="123"/>
      <c r="P172" s="123"/>
    </row>
    <row r="173" spans="2:43" x14ac:dyDescent="0.25">
      <c r="F173" s="123"/>
      <c r="G173" s="203"/>
      <c r="H173" s="113"/>
      <c r="I173" s="204"/>
      <c r="K173" s="123"/>
      <c r="L173" s="123"/>
      <c r="M173" s="123"/>
      <c r="P173" s="123"/>
    </row>
    <row r="174" spans="2:43" x14ac:dyDescent="0.25">
      <c r="F174" s="123"/>
      <c r="G174" s="203"/>
      <c r="H174" s="113"/>
      <c r="I174" s="204"/>
      <c r="K174" s="123"/>
      <c r="L174" s="123"/>
      <c r="M174" s="123"/>
      <c r="P174" s="123"/>
    </row>
    <row r="175" spans="2:43" x14ac:dyDescent="0.25">
      <c r="F175" s="123"/>
      <c r="G175" s="203"/>
      <c r="H175" s="113"/>
      <c r="I175" s="204"/>
      <c r="K175" s="123"/>
      <c r="L175" s="123"/>
      <c r="M175" s="123"/>
      <c r="P175" s="123"/>
    </row>
    <row r="176" spans="2:43" x14ac:dyDescent="0.25">
      <c r="F176" s="123"/>
      <c r="G176" s="203"/>
      <c r="H176" s="113"/>
      <c r="I176" s="204"/>
      <c r="K176" s="123"/>
      <c r="L176" s="123"/>
      <c r="M176" s="123"/>
      <c r="P176" s="123"/>
    </row>
    <row r="177" spans="6:16" x14ac:dyDescent="0.25">
      <c r="F177" s="123"/>
      <c r="G177" s="203"/>
      <c r="H177" s="113"/>
      <c r="I177" s="204"/>
      <c r="K177" s="123"/>
      <c r="L177" s="123"/>
      <c r="M177" s="123"/>
      <c r="P177" s="123"/>
    </row>
    <row r="178" spans="6:16" x14ac:dyDescent="0.25">
      <c r="F178" s="123"/>
      <c r="G178" s="203"/>
      <c r="H178" s="113"/>
      <c r="I178" s="204"/>
      <c r="K178" s="123"/>
      <c r="L178" s="123"/>
      <c r="M178" s="123"/>
      <c r="P178" s="123"/>
    </row>
    <row r="179" spans="6:16" x14ac:dyDescent="0.25">
      <c r="F179" s="123"/>
      <c r="G179" s="203"/>
      <c r="H179" s="113"/>
      <c r="I179" s="204"/>
      <c r="K179" s="123"/>
      <c r="L179" s="123"/>
      <c r="M179" s="123"/>
      <c r="P179" s="123"/>
    </row>
    <row r="180" spans="6:16" x14ac:dyDescent="0.25">
      <c r="F180" s="123"/>
      <c r="G180" s="203"/>
      <c r="H180" s="113"/>
      <c r="I180" s="204"/>
      <c r="K180" s="123"/>
      <c r="L180" s="123"/>
      <c r="M180" s="123"/>
      <c r="P180" s="123"/>
    </row>
    <row r="181" spans="6:16" x14ac:dyDescent="0.25">
      <c r="F181" s="123"/>
      <c r="G181" s="203"/>
      <c r="H181" s="113"/>
      <c r="I181" s="204"/>
      <c r="K181" s="123"/>
      <c r="L181" s="123"/>
      <c r="M181" s="123"/>
      <c r="P181" s="123"/>
    </row>
    <row r="182" spans="6:16" x14ac:dyDescent="0.25">
      <c r="F182" s="123"/>
      <c r="G182" s="203"/>
      <c r="H182" s="113"/>
      <c r="I182" s="204"/>
      <c r="K182" s="123"/>
      <c r="L182" s="123"/>
      <c r="M182" s="123"/>
      <c r="P182" s="123"/>
    </row>
    <row r="183" spans="6:16" x14ac:dyDescent="0.25">
      <c r="F183" s="123"/>
      <c r="G183" s="203"/>
      <c r="H183" s="113"/>
      <c r="I183" s="204"/>
      <c r="K183" s="123"/>
      <c r="L183" s="123"/>
      <c r="M183" s="123"/>
      <c r="P183" s="123"/>
    </row>
    <row r="184" spans="6:16" x14ac:dyDescent="0.25">
      <c r="F184" s="123"/>
      <c r="G184" s="203"/>
      <c r="H184" s="113"/>
      <c r="I184" s="204"/>
      <c r="K184" s="123"/>
      <c r="L184" s="123"/>
      <c r="M184" s="123"/>
      <c r="P184" s="123"/>
    </row>
    <row r="185" spans="6:16" x14ac:dyDescent="0.25">
      <c r="F185" s="123"/>
      <c r="G185" s="203"/>
      <c r="H185" s="113"/>
      <c r="I185" s="204"/>
      <c r="K185" s="123"/>
      <c r="L185" s="123"/>
      <c r="M185" s="123"/>
      <c r="P185" s="123"/>
    </row>
    <row r="186" spans="6:16" x14ac:dyDescent="0.25">
      <c r="F186" s="123"/>
      <c r="G186" s="203"/>
      <c r="H186" s="113"/>
      <c r="I186" s="204"/>
      <c r="K186" s="123"/>
      <c r="L186" s="123"/>
      <c r="M186" s="123"/>
      <c r="P186" s="123"/>
    </row>
    <row r="187" spans="6:16" x14ac:dyDescent="0.25">
      <c r="F187" s="123"/>
      <c r="G187" s="203"/>
      <c r="H187" s="113"/>
      <c r="I187" s="204"/>
      <c r="K187" s="123"/>
      <c r="L187" s="123"/>
      <c r="M187" s="123"/>
      <c r="P187" s="123"/>
    </row>
    <row r="188" spans="6:16" x14ac:dyDescent="0.25">
      <c r="F188" s="123"/>
      <c r="G188" s="203"/>
      <c r="H188" s="113"/>
      <c r="I188" s="204"/>
      <c r="K188" s="123"/>
      <c r="L188" s="123"/>
      <c r="M188" s="123"/>
      <c r="P188" s="123"/>
    </row>
    <row r="189" spans="6:16" x14ac:dyDescent="0.25">
      <c r="F189" s="123"/>
      <c r="G189" s="203"/>
      <c r="H189" s="113"/>
      <c r="I189" s="204"/>
      <c r="K189" s="123"/>
      <c r="L189" s="123"/>
      <c r="M189" s="123"/>
      <c r="P189" s="123"/>
    </row>
    <row r="190" spans="6:16" x14ac:dyDescent="0.25">
      <c r="F190" s="123"/>
      <c r="G190" s="203"/>
      <c r="H190" s="113"/>
      <c r="I190" s="204"/>
      <c r="K190" s="123"/>
      <c r="L190" s="123"/>
      <c r="M190" s="123"/>
      <c r="P190" s="123"/>
    </row>
    <row r="191" spans="6:16" x14ac:dyDescent="0.25">
      <c r="F191" s="123"/>
      <c r="G191" s="203"/>
      <c r="H191" s="113"/>
      <c r="I191" s="204"/>
      <c r="K191" s="123"/>
      <c r="L191" s="123"/>
      <c r="M191" s="123"/>
      <c r="P191" s="123"/>
    </row>
    <row r="192" spans="6:16" x14ac:dyDescent="0.25">
      <c r="F192" s="123"/>
      <c r="G192" s="203"/>
      <c r="H192" s="113"/>
      <c r="I192" s="204"/>
      <c r="K192" s="123"/>
      <c r="L192" s="123"/>
      <c r="M192" s="123"/>
      <c r="P192" s="123"/>
    </row>
    <row r="193" spans="6:16" x14ac:dyDescent="0.25">
      <c r="F193" s="123"/>
      <c r="G193" s="203"/>
      <c r="H193" s="113"/>
      <c r="I193" s="204"/>
      <c r="K193" s="123"/>
      <c r="L193" s="123"/>
      <c r="M193" s="123"/>
      <c r="P193" s="123"/>
    </row>
    <row r="194" spans="6:16" x14ac:dyDescent="0.25">
      <c r="F194" s="123"/>
      <c r="G194" s="203"/>
      <c r="H194" s="113"/>
      <c r="I194" s="204"/>
      <c r="K194" s="123"/>
      <c r="L194" s="123"/>
      <c r="M194" s="123"/>
      <c r="P194" s="123"/>
    </row>
    <row r="195" spans="6:16" x14ac:dyDescent="0.25">
      <c r="F195" s="123"/>
      <c r="G195" s="203"/>
      <c r="H195" s="113"/>
      <c r="I195" s="204"/>
      <c r="K195" s="123"/>
      <c r="L195" s="123"/>
      <c r="M195" s="123"/>
      <c r="P195" s="123"/>
    </row>
    <row r="196" spans="6:16" x14ac:dyDescent="0.25">
      <c r="F196" s="123"/>
      <c r="G196" s="203"/>
      <c r="H196" s="113"/>
      <c r="I196" s="204"/>
      <c r="K196" s="123"/>
      <c r="L196" s="123"/>
      <c r="M196" s="123"/>
      <c r="P196" s="123"/>
    </row>
    <row r="197" spans="6:16" x14ac:dyDescent="0.25">
      <c r="F197" s="123"/>
      <c r="G197" s="203"/>
      <c r="H197" s="113"/>
      <c r="I197" s="204"/>
      <c r="K197" s="123"/>
      <c r="L197" s="123"/>
      <c r="M197" s="123"/>
      <c r="P197" s="123"/>
    </row>
    <row r="198" spans="6:16" x14ac:dyDescent="0.25">
      <c r="F198" s="123"/>
      <c r="G198" s="203"/>
      <c r="H198" s="113"/>
      <c r="I198" s="204"/>
      <c r="K198" s="123"/>
      <c r="L198" s="123"/>
      <c r="M198" s="123"/>
      <c r="P198" s="123"/>
    </row>
    <row r="199" spans="6:16" x14ac:dyDescent="0.25">
      <c r="F199" s="123"/>
      <c r="G199" s="203"/>
      <c r="H199" s="113"/>
      <c r="I199" s="204"/>
      <c r="K199" s="123"/>
      <c r="L199" s="123"/>
      <c r="M199" s="123"/>
      <c r="P199" s="123"/>
    </row>
    <row r="200" spans="6:16" x14ac:dyDescent="0.25">
      <c r="F200" s="123"/>
      <c r="G200" s="203"/>
      <c r="H200" s="113"/>
      <c r="I200" s="204"/>
      <c r="K200" s="123"/>
      <c r="L200" s="123"/>
      <c r="M200" s="123"/>
      <c r="P200" s="123"/>
    </row>
    <row r="201" spans="6:16" x14ac:dyDescent="0.25">
      <c r="F201" s="123"/>
      <c r="G201" s="203"/>
      <c r="H201" s="113"/>
      <c r="I201" s="204"/>
      <c r="K201" s="123"/>
      <c r="L201" s="123"/>
      <c r="M201" s="123"/>
      <c r="P201" s="123"/>
    </row>
    <row r="202" spans="6:16" x14ac:dyDescent="0.25">
      <c r="F202" s="123"/>
      <c r="G202" s="203"/>
      <c r="H202" s="113"/>
      <c r="I202" s="204"/>
      <c r="K202" s="123"/>
      <c r="L202" s="123"/>
      <c r="M202" s="123"/>
      <c r="P202" s="123"/>
    </row>
    <row r="203" spans="6:16" x14ac:dyDescent="0.25">
      <c r="F203" s="123"/>
      <c r="G203" s="203"/>
      <c r="H203" s="113"/>
      <c r="I203" s="204"/>
      <c r="K203" s="123"/>
      <c r="L203" s="123"/>
      <c r="M203" s="123"/>
      <c r="P203" s="123"/>
    </row>
    <row r="204" spans="6:16" x14ac:dyDescent="0.25">
      <c r="F204" s="123"/>
      <c r="G204" s="203"/>
      <c r="H204" s="113"/>
      <c r="I204" s="204"/>
      <c r="K204" s="123"/>
      <c r="L204" s="123"/>
      <c r="M204" s="123"/>
      <c r="P204" s="123"/>
    </row>
    <row r="205" spans="6:16" x14ac:dyDescent="0.25">
      <c r="F205" s="123"/>
      <c r="G205" s="203"/>
      <c r="H205" s="113"/>
      <c r="I205" s="204"/>
      <c r="K205" s="123"/>
      <c r="L205" s="123"/>
      <c r="M205" s="123"/>
      <c r="P205" s="123"/>
    </row>
    <row r="206" spans="6:16" x14ac:dyDescent="0.25">
      <c r="F206" s="123"/>
      <c r="G206" s="203"/>
      <c r="H206" s="113"/>
      <c r="I206" s="204"/>
      <c r="K206" s="123"/>
      <c r="L206" s="123"/>
      <c r="M206" s="123"/>
      <c r="P206" s="123"/>
    </row>
    <row r="207" spans="6:16" x14ac:dyDescent="0.25">
      <c r="F207" s="123"/>
      <c r="G207" s="203"/>
      <c r="H207" s="113"/>
      <c r="I207" s="204"/>
      <c r="K207" s="123"/>
      <c r="L207" s="123"/>
      <c r="M207" s="123"/>
      <c r="P207" s="123"/>
    </row>
    <row r="208" spans="6:16" x14ac:dyDescent="0.25">
      <c r="F208" s="123"/>
      <c r="G208" s="203"/>
      <c r="H208" s="113"/>
      <c r="I208" s="204"/>
      <c r="K208" s="123"/>
      <c r="L208" s="123"/>
      <c r="M208" s="123"/>
      <c r="P208" s="123"/>
    </row>
    <row r="209" spans="6:16" x14ac:dyDescent="0.25">
      <c r="F209" s="123"/>
      <c r="G209" s="203"/>
      <c r="H209" s="113"/>
      <c r="I209" s="204"/>
      <c r="K209" s="123"/>
      <c r="L209" s="123"/>
      <c r="M209" s="123"/>
      <c r="P209" s="123"/>
    </row>
    <row r="210" spans="6:16" x14ac:dyDescent="0.25">
      <c r="F210" s="123"/>
      <c r="G210" s="203"/>
      <c r="H210" s="113"/>
      <c r="I210" s="204"/>
      <c r="K210" s="123"/>
      <c r="L210" s="123"/>
      <c r="M210" s="123"/>
      <c r="P210" s="123"/>
    </row>
    <row r="211" spans="6:16" x14ac:dyDescent="0.25">
      <c r="F211" s="123"/>
      <c r="G211" s="203"/>
      <c r="H211" s="113"/>
      <c r="I211" s="204"/>
      <c r="K211" s="123"/>
      <c r="L211" s="123"/>
      <c r="M211" s="123"/>
      <c r="P211" s="123"/>
    </row>
    <row r="212" spans="6:16" x14ac:dyDescent="0.25">
      <c r="F212" s="123"/>
      <c r="G212" s="203"/>
      <c r="H212" s="113"/>
      <c r="I212" s="204"/>
      <c r="K212" s="123"/>
      <c r="L212" s="123"/>
      <c r="M212" s="123"/>
      <c r="P212" s="123"/>
    </row>
    <row r="213" spans="6:16" x14ac:dyDescent="0.25">
      <c r="F213" s="123"/>
      <c r="G213" s="203"/>
      <c r="H213" s="113"/>
      <c r="I213" s="204"/>
      <c r="K213" s="123"/>
      <c r="L213" s="123"/>
      <c r="M213" s="123"/>
      <c r="P213" s="123"/>
    </row>
    <row r="214" spans="6:16" x14ac:dyDescent="0.25">
      <c r="F214" s="123"/>
      <c r="G214" s="203"/>
      <c r="H214" s="113"/>
      <c r="I214" s="204"/>
      <c r="K214" s="123"/>
      <c r="L214" s="123"/>
      <c r="M214" s="123"/>
      <c r="P214" s="123"/>
    </row>
    <row r="215" spans="6:16" x14ac:dyDescent="0.25">
      <c r="F215" s="123"/>
      <c r="G215" s="203"/>
      <c r="H215" s="113"/>
      <c r="I215" s="204"/>
      <c r="K215" s="123"/>
      <c r="L215" s="123"/>
      <c r="M215" s="123"/>
      <c r="P215" s="123"/>
    </row>
    <row r="216" spans="6:16" x14ac:dyDescent="0.25">
      <c r="F216" s="123"/>
      <c r="G216" s="203"/>
      <c r="H216" s="113"/>
      <c r="I216" s="204"/>
      <c r="K216" s="123"/>
      <c r="L216" s="123"/>
      <c r="M216" s="123"/>
      <c r="P216" s="123"/>
    </row>
    <row r="217" spans="6:16" x14ac:dyDescent="0.25">
      <c r="F217" s="123"/>
      <c r="G217" s="203"/>
      <c r="H217" s="113"/>
      <c r="I217" s="204"/>
      <c r="K217" s="123"/>
      <c r="L217" s="123"/>
      <c r="M217" s="123"/>
      <c r="P217" s="123"/>
    </row>
    <row r="218" spans="6:16" x14ac:dyDescent="0.25">
      <c r="F218" s="123"/>
      <c r="G218" s="203"/>
      <c r="H218" s="113"/>
      <c r="I218" s="204"/>
      <c r="K218" s="123"/>
      <c r="L218" s="123"/>
      <c r="M218" s="123"/>
      <c r="P218" s="123"/>
    </row>
    <row r="219" spans="6:16" x14ac:dyDescent="0.25">
      <c r="F219" s="123"/>
      <c r="G219" s="203"/>
      <c r="H219" s="113"/>
      <c r="I219" s="204"/>
      <c r="K219" s="123"/>
      <c r="L219" s="123"/>
      <c r="M219" s="123"/>
      <c r="P219" s="123"/>
    </row>
    <row r="220" spans="6:16" x14ac:dyDescent="0.25">
      <c r="F220" s="123"/>
      <c r="G220" s="203"/>
      <c r="H220" s="113"/>
      <c r="I220" s="204"/>
      <c r="K220" s="123"/>
      <c r="L220" s="123"/>
      <c r="M220" s="123"/>
      <c r="P220" s="123"/>
    </row>
    <row r="221" spans="6:16" x14ac:dyDescent="0.25">
      <c r="F221" s="123"/>
      <c r="G221" s="203"/>
      <c r="H221" s="113"/>
      <c r="I221" s="204"/>
      <c r="K221" s="123"/>
      <c r="L221" s="123"/>
      <c r="M221" s="123"/>
      <c r="P221" s="123"/>
    </row>
    <row r="222" spans="6:16" x14ac:dyDescent="0.25">
      <c r="F222" s="123"/>
      <c r="G222" s="203"/>
      <c r="H222" s="113"/>
      <c r="I222" s="204"/>
      <c r="K222" s="123"/>
      <c r="L222" s="123"/>
      <c r="M222" s="123"/>
      <c r="P222" s="123"/>
    </row>
    <row r="223" spans="6:16" x14ac:dyDescent="0.25">
      <c r="F223" s="123"/>
      <c r="G223" s="203"/>
      <c r="H223" s="113"/>
      <c r="I223" s="204"/>
      <c r="K223" s="123"/>
      <c r="L223" s="123"/>
      <c r="M223" s="123"/>
      <c r="P223" s="123"/>
    </row>
    <row r="224" spans="6:16" x14ac:dyDescent="0.25">
      <c r="F224" s="123"/>
      <c r="G224" s="203"/>
      <c r="H224" s="113"/>
      <c r="I224" s="204"/>
      <c r="K224" s="123"/>
      <c r="L224" s="123"/>
      <c r="M224" s="123"/>
      <c r="P224" s="123"/>
    </row>
    <row r="225" spans="6:16" x14ac:dyDescent="0.25">
      <c r="F225" s="123"/>
      <c r="G225" s="203"/>
      <c r="H225" s="113"/>
      <c r="I225" s="204"/>
      <c r="K225" s="123"/>
      <c r="L225" s="123"/>
      <c r="M225" s="123"/>
      <c r="P225" s="123"/>
    </row>
    <row r="226" spans="6:16" x14ac:dyDescent="0.25">
      <c r="F226" s="123"/>
      <c r="G226" s="203"/>
      <c r="H226" s="113"/>
      <c r="I226" s="204"/>
      <c r="K226" s="123"/>
      <c r="L226" s="123"/>
      <c r="M226" s="123"/>
      <c r="P226" s="123"/>
    </row>
    <row r="227" spans="6:16" x14ac:dyDescent="0.25">
      <c r="F227" s="123"/>
      <c r="G227" s="203"/>
      <c r="H227" s="113"/>
      <c r="I227" s="204"/>
      <c r="K227" s="123"/>
      <c r="L227" s="123"/>
      <c r="M227" s="123"/>
      <c r="P227" s="123"/>
    </row>
    <row r="228" spans="6:16" x14ac:dyDescent="0.25">
      <c r="F228" s="123"/>
      <c r="G228" s="203"/>
      <c r="H228" s="113"/>
      <c r="I228" s="204"/>
      <c r="K228" s="123"/>
      <c r="L228" s="123"/>
      <c r="M228" s="123"/>
      <c r="P228" s="123"/>
    </row>
    <row r="229" spans="6:16" x14ac:dyDescent="0.25">
      <c r="F229" s="123"/>
      <c r="G229" s="203"/>
      <c r="H229" s="113"/>
      <c r="I229" s="204"/>
      <c r="K229" s="123"/>
      <c r="L229" s="123"/>
      <c r="M229" s="123"/>
      <c r="P229" s="123"/>
    </row>
    <row r="230" spans="6:16" x14ac:dyDescent="0.25">
      <c r="F230" s="123"/>
      <c r="G230" s="203"/>
      <c r="H230" s="113"/>
      <c r="I230" s="204"/>
      <c r="K230" s="123"/>
      <c r="L230" s="123"/>
      <c r="M230" s="123"/>
      <c r="P230" s="123"/>
    </row>
    <row r="231" spans="6:16" x14ac:dyDescent="0.25">
      <c r="F231" s="123"/>
      <c r="G231" s="203"/>
      <c r="H231" s="113"/>
      <c r="I231" s="204"/>
      <c r="K231" s="123"/>
      <c r="L231" s="123"/>
      <c r="M231" s="123"/>
      <c r="P231" s="123"/>
    </row>
    <row r="232" spans="6:16" x14ac:dyDescent="0.25">
      <c r="F232" s="123"/>
      <c r="G232" s="203"/>
      <c r="H232" s="113"/>
      <c r="I232" s="204"/>
      <c r="K232" s="123"/>
      <c r="L232" s="123"/>
      <c r="M232" s="123"/>
      <c r="P232" s="123"/>
    </row>
    <row r="233" spans="6:16" x14ac:dyDescent="0.25">
      <c r="F233" s="123"/>
      <c r="G233" s="203"/>
      <c r="H233" s="113"/>
      <c r="I233" s="204"/>
      <c r="K233" s="123"/>
      <c r="L233" s="123"/>
      <c r="M233" s="123"/>
      <c r="P233" s="123"/>
    </row>
    <row r="234" spans="6:16" x14ac:dyDescent="0.25">
      <c r="F234" s="123"/>
      <c r="G234" s="203"/>
      <c r="H234" s="113"/>
      <c r="I234" s="204"/>
      <c r="K234" s="123"/>
      <c r="L234" s="123"/>
      <c r="M234" s="123"/>
      <c r="P234" s="123"/>
    </row>
    <row r="235" spans="6:16" x14ac:dyDescent="0.25">
      <c r="F235" s="123"/>
      <c r="G235" s="203"/>
      <c r="H235" s="113"/>
      <c r="I235" s="204"/>
      <c r="K235" s="123"/>
      <c r="L235" s="123"/>
      <c r="M235" s="123"/>
      <c r="P235" s="123"/>
    </row>
    <row r="236" spans="6:16" x14ac:dyDescent="0.25">
      <c r="F236" s="123"/>
      <c r="G236" s="203"/>
      <c r="H236" s="113"/>
      <c r="I236" s="204"/>
      <c r="K236" s="123"/>
      <c r="L236" s="123"/>
      <c r="M236" s="123"/>
      <c r="P236" s="123"/>
    </row>
    <row r="237" spans="6:16" x14ac:dyDescent="0.25">
      <c r="F237" s="123"/>
      <c r="G237" s="203"/>
      <c r="H237" s="113"/>
      <c r="I237" s="204"/>
      <c r="K237" s="123"/>
      <c r="L237" s="123"/>
      <c r="M237" s="123"/>
      <c r="P237" s="123"/>
    </row>
    <row r="238" spans="6:16" x14ac:dyDescent="0.25">
      <c r="F238" s="123"/>
      <c r="G238" s="203"/>
      <c r="H238" s="113"/>
      <c r="I238" s="204"/>
      <c r="K238" s="123"/>
      <c r="L238" s="123"/>
      <c r="M238" s="123"/>
      <c r="P238" s="123"/>
    </row>
    <row r="239" spans="6:16" x14ac:dyDescent="0.25">
      <c r="F239" s="123"/>
      <c r="G239" s="203"/>
      <c r="H239" s="113"/>
      <c r="I239" s="204"/>
      <c r="K239" s="123"/>
      <c r="L239" s="123"/>
      <c r="M239" s="123"/>
      <c r="P239" s="123"/>
    </row>
    <row r="240" spans="6:16" x14ac:dyDescent="0.25">
      <c r="F240" s="123"/>
      <c r="G240" s="203"/>
      <c r="H240" s="113"/>
      <c r="I240" s="204"/>
      <c r="K240" s="123"/>
      <c r="L240" s="123"/>
      <c r="M240" s="123"/>
      <c r="P240" s="123"/>
    </row>
    <row r="241" spans="6:16" x14ac:dyDescent="0.25">
      <c r="F241" s="123"/>
      <c r="G241" s="203"/>
      <c r="H241" s="113"/>
      <c r="I241" s="204"/>
      <c r="K241" s="123"/>
      <c r="L241" s="123"/>
      <c r="M241" s="123"/>
      <c r="P241" s="123"/>
    </row>
    <row r="242" spans="6:16" x14ac:dyDescent="0.25">
      <c r="F242" s="123"/>
      <c r="G242" s="203"/>
      <c r="H242" s="113"/>
      <c r="I242" s="204"/>
      <c r="K242" s="123"/>
      <c r="L242" s="123"/>
      <c r="M242" s="123"/>
      <c r="P242" s="123"/>
    </row>
    <row r="243" spans="6:16" x14ac:dyDescent="0.25">
      <c r="F243" s="123"/>
      <c r="G243" s="203"/>
      <c r="H243" s="113"/>
      <c r="I243" s="204"/>
      <c r="K243" s="123"/>
      <c r="L243" s="123"/>
      <c r="M243" s="123"/>
      <c r="P243" s="123"/>
    </row>
    <row r="244" spans="6:16" x14ac:dyDescent="0.25">
      <c r="F244" s="123"/>
      <c r="G244" s="203"/>
      <c r="H244" s="113"/>
      <c r="I244" s="204"/>
      <c r="K244" s="123"/>
      <c r="L244" s="123"/>
      <c r="M244" s="123"/>
      <c r="P244" s="123"/>
    </row>
    <row r="245" spans="6:16" x14ac:dyDescent="0.25">
      <c r="F245" s="123"/>
      <c r="G245" s="203"/>
      <c r="H245" s="113"/>
      <c r="I245" s="204"/>
      <c r="K245" s="123"/>
      <c r="L245" s="123"/>
      <c r="M245" s="123"/>
      <c r="P245" s="123"/>
    </row>
    <row r="246" spans="6:16" x14ac:dyDescent="0.25">
      <c r="F246" s="123"/>
      <c r="G246" s="203"/>
      <c r="H246" s="113"/>
      <c r="I246" s="204"/>
      <c r="K246" s="123"/>
      <c r="L246" s="123"/>
      <c r="M246" s="123"/>
      <c r="P246" s="123"/>
    </row>
    <row r="247" spans="6:16" x14ac:dyDescent="0.25">
      <c r="F247" s="123"/>
      <c r="G247" s="203"/>
      <c r="H247" s="113"/>
      <c r="I247" s="204"/>
      <c r="K247" s="123"/>
      <c r="L247" s="123"/>
      <c r="M247" s="123"/>
      <c r="P247" s="123"/>
    </row>
    <row r="248" spans="6:16" x14ac:dyDescent="0.25">
      <c r="F248" s="123"/>
      <c r="G248" s="203"/>
      <c r="H248" s="113"/>
      <c r="I248" s="204"/>
      <c r="K248" s="123"/>
      <c r="L248" s="123"/>
      <c r="M248" s="123"/>
      <c r="P248" s="123"/>
    </row>
    <row r="249" spans="6:16" x14ac:dyDescent="0.25">
      <c r="F249" s="123"/>
      <c r="G249" s="203"/>
      <c r="H249" s="113"/>
      <c r="I249" s="204"/>
      <c r="K249" s="123"/>
      <c r="L249" s="123"/>
      <c r="M249" s="123"/>
      <c r="P249" s="123"/>
    </row>
    <row r="250" spans="6:16" x14ac:dyDescent="0.25">
      <c r="F250" s="123"/>
      <c r="G250" s="203"/>
      <c r="H250" s="113"/>
      <c r="I250" s="204"/>
      <c r="K250" s="123"/>
      <c r="L250" s="123"/>
      <c r="M250" s="123"/>
      <c r="P250" s="123"/>
    </row>
    <row r="251" spans="6:16" x14ac:dyDescent="0.25">
      <c r="F251" s="123"/>
      <c r="G251" s="203"/>
      <c r="H251" s="113"/>
      <c r="I251" s="204"/>
      <c r="K251" s="123"/>
      <c r="L251" s="123"/>
      <c r="M251" s="123"/>
      <c r="P251" s="123"/>
    </row>
    <row r="252" spans="6:16" x14ac:dyDescent="0.25">
      <c r="F252" s="123"/>
      <c r="G252" s="203"/>
      <c r="H252" s="113"/>
      <c r="I252" s="204"/>
      <c r="K252" s="123"/>
      <c r="L252" s="123"/>
      <c r="M252" s="123"/>
      <c r="P252" s="123"/>
    </row>
    <row r="253" spans="6:16" x14ac:dyDescent="0.25">
      <c r="F253" s="123"/>
      <c r="G253" s="203"/>
      <c r="H253" s="113"/>
      <c r="I253" s="204"/>
      <c r="K253" s="123"/>
      <c r="L253" s="123"/>
      <c r="M253" s="123"/>
      <c r="P253" s="123"/>
    </row>
    <row r="254" spans="6:16" x14ac:dyDescent="0.25">
      <c r="F254" s="123"/>
      <c r="G254" s="203"/>
      <c r="H254" s="113"/>
      <c r="I254" s="204"/>
      <c r="K254" s="123"/>
      <c r="L254" s="123"/>
      <c r="M254" s="123"/>
      <c r="P254" s="123"/>
    </row>
    <row r="255" spans="6:16" x14ac:dyDescent="0.25">
      <c r="F255" s="123"/>
      <c r="G255" s="203"/>
      <c r="H255" s="113"/>
      <c r="I255" s="204"/>
      <c r="K255" s="123"/>
      <c r="L255" s="123"/>
      <c r="M255" s="123"/>
      <c r="P255" s="123"/>
    </row>
    <row r="256" spans="6:16" x14ac:dyDescent="0.25">
      <c r="F256" s="123"/>
      <c r="G256" s="203"/>
      <c r="H256" s="113"/>
      <c r="I256" s="204"/>
      <c r="K256" s="123"/>
      <c r="L256" s="123"/>
      <c r="M256" s="123"/>
      <c r="P256" s="123"/>
    </row>
    <row r="257" spans="6:16" x14ac:dyDescent="0.25">
      <c r="F257" s="123"/>
      <c r="G257" s="203"/>
      <c r="H257" s="113"/>
      <c r="I257" s="204"/>
      <c r="K257" s="123"/>
      <c r="L257" s="123"/>
      <c r="M257" s="123"/>
      <c r="P257" s="123"/>
    </row>
    <row r="258" spans="6:16" x14ac:dyDescent="0.25">
      <c r="F258" s="123"/>
      <c r="G258" s="203"/>
      <c r="H258" s="113"/>
      <c r="I258" s="204"/>
      <c r="K258" s="123"/>
      <c r="L258" s="123"/>
      <c r="M258" s="123"/>
      <c r="P258" s="123"/>
    </row>
    <row r="259" spans="6:16" x14ac:dyDescent="0.25">
      <c r="F259" s="123"/>
      <c r="G259" s="203"/>
      <c r="H259" s="113"/>
      <c r="I259" s="204"/>
      <c r="K259" s="123"/>
      <c r="L259" s="123"/>
      <c r="M259" s="123"/>
      <c r="P259" s="123"/>
    </row>
    <row r="260" spans="6:16" x14ac:dyDescent="0.25">
      <c r="F260" s="123"/>
      <c r="G260" s="203"/>
      <c r="H260" s="113"/>
      <c r="I260" s="204"/>
      <c r="K260" s="123"/>
      <c r="L260" s="123"/>
      <c r="M260" s="123"/>
      <c r="P260" s="123"/>
    </row>
    <row r="261" spans="6:16" x14ac:dyDescent="0.25">
      <c r="F261" s="123"/>
      <c r="G261" s="203"/>
      <c r="H261" s="113"/>
      <c r="I261" s="204"/>
      <c r="K261" s="123"/>
      <c r="L261" s="123"/>
      <c r="M261" s="123"/>
      <c r="P261" s="123"/>
    </row>
    <row r="262" spans="6:16" x14ac:dyDescent="0.25">
      <c r="F262" s="123"/>
      <c r="G262" s="203"/>
      <c r="H262" s="113"/>
      <c r="I262" s="204"/>
      <c r="K262" s="123"/>
      <c r="L262" s="123"/>
      <c r="M262" s="123"/>
      <c r="P262" s="123"/>
    </row>
    <row r="263" spans="6:16" x14ac:dyDescent="0.25">
      <c r="F263" s="123"/>
      <c r="G263" s="203"/>
      <c r="H263" s="113"/>
      <c r="I263" s="204"/>
      <c r="K263" s="123"/>
      <c r="L263" s="123"/>
      <c r="M263" s="123"/>
      <c r="P263" s="123"/>
    </row>
    <row r="264" spans="6:16" x14ac:dyDescent="0.25">
      <c r="F264" s="123"/>
      <c r="G264" s="203"/>
      <c r="H264" s="113"/>
      <c r="I264" s="204"/>
      <c r="K264" s="123"/>
      <c r="L264" s="123"/>
      <c r="M264" s="123"/>
      <c r="P264" s="123"/>
    </row>
    <row r="265" spans="6:16" x14ac:dyDescent="0.25">
      <c r="F265" s="123"/>
      <c r="G265" s="203"/>
      <c r="H265" s="113"/>
      <c r="I265" s="204"/>
      <c r="K265" s="123"/>
      <c r="L265" s="123"/>
      <c r="M265" s="123"/>
      <c r="P265" s="123"/>
    </row>
    <row r="266" spans="6:16" x14ac:dyDescent="0.25">
      <c r="F266" s="123"/>
      <c r="G266" s="203"/>
      <c r="H266" s="113"/>
      <c r="I266" s="204"/>
      <c r="K266" s="123"/>
      <c r="L266" s="123"/>
      <c r="M266" s="123"/>
      <c r="P266" s="123"/>
    </row>
    <row r="267" spans="6:16" x14ac:dyDescent="0.25">
      <c r="F267" s="123"/>
      <c r="G267" s="203"/>
      <c r="H267" s="113"/>
      <c r="I267" s="204"/>
      <c r="K267" s="123"/>
      <c r="L267" s="123"/>
      <c r="M267" s="123"/>
      <c r="P267" s="123"/>
    </row>
    <row r="268" spans="6:16" x14ac:dyDescent="0.25">
      <c r="F268" s="123"/>
      <c r="G268" s="203"/>
      <c r="H268" s="113"/>
      <c r="I268" s="204"/>
      <c r="K268" s="123"/>
      <c r="L268" s="123"/>
      <c r="M268" s="123"/>
      <c r="P268" s="123"/>
    </row>
    <row r="269" spans="6:16" x14ac:dyDescent="0.25">
      <c r="F269" s="123"/>
      <c r="G269" s="203"/>
      <c r="H269" s="113"/>
      <c r="I269" s="204"/>
      <c r="K269" s="123"/>
      <c r="L269" s="123"/>
      <c r="M269" s="123"/>
      <c r="P269" s="123"/>
    </row>
    <row r="270" spans="6:16" x14ac:dyDescent="0.25">
      <c r="F270" s="123"/>
      <c r="G270" s="203"/>
      <c r="H270" s="113"/>
      <c r="I270" s="204"/>
      <c r="K270" s="123"/>
      <c r="L270" s="123"/>
      <c r="M270" s="123"/>
      <c r="P270" s="123"/>
    </row>
    <row r="271" spans="6:16" x14ac:dyDescent="0.25">
      <c r="F271" s="123"/>
      <c r="G271" s="203"/>
      <c r="H271" s="113"/>
      <c r="I271" s="204"/>
      <c r="K271" s="123"/>
      <c r="L271" s="123"/>
      <c r="M271" s="123"/>
      <c r="P271" s="123"/>
    </row>
    <row r="272" spans="6:16" x14ac:dyDescent="0.25">
      <c r="F272" s="123"/>
      <c r="G272" s="203"/>
      <c r="H272" s="113"/>
      <c r="I272" s="204"/>
      <c r="K272" s="123"/>
      <c r="L272" s="123"/>
      <c r="M272" s="123"/>
      <c r="P272" s="123"/>
    </row>
    <row r="273" spans="6:16" x14ac:dyDescent="0.25">
      <c r="F273" s="123"/>
      <c r="G273" s="203"/>
      <c r="H273" s="113"/>
      <c r="I273" s="204"/>
      <c r="K273" s="123"/>
      <c r="L273" s="123"/>
      <c r="M273" s="123"/>
      <c r="P273" s="123"/>
    </row>
    <row r="274" spans="6:16" x14ac:dyDescent="0.25">
      <c r="F274" s="123"/>
      <c r="G274" s="203"/>
      <c r="H274" s="113"/>
      <c r="I274" s="204"/>
      <c r="K274" s="123"/>
      <c r="L274" s="123"/>
      <c r="M274" s="123"/>
      <c r="P274" s="123"/>
    </row>
    <row r="275" spans="6:16" x14ac:dyDescent="0.25">
      <c r="F275" s="123"/>
      <c r="G275" s="203"/>
      <c r="H275" s="113"/>
      <c r="I275" s="204"/>
      <c r="K275" s="123"/>
      <c r="L275" s="123"/>
      <c r="M275" s="123"/>
      <c r="P275" s="123"/>
    </row>
    <row r="276" spans="6:16" x14ac:dyDescent="0.25">
      <c r="F276" s="123"/>
      <c r="G276" s="203"/>
      <c r="H276" s="113"/>
      <c r="I276" s="204"/>
      <c r="K276" s="123"/>
      <c r="L276" s="123"/>
      <c r="M276" s="123"/>
      <c r="P276" s="123"/>
    </row>
    <row r="277" spans="6:16" x14ac:dyDescent="0.25">
      <c r="F277" s="123"/>
      <c r="G277" s="203"/>
      <c r="H277" s="113"/>
      <c r="I277" s="204"/>
      <c r="K277" s="123"/>
      <c r="L277" s="123"/>
      <c r="M277" s="123"/>
      <c r="P277" s="123"/>
    </row>
    <row r="278" spans="6:16" x14ac:dyDescent="0.25">
      <c r="F278" s="123"/>
      <c r="G278" s="203"/>
      <c r="H278" s="113"/>
      <c r="I278" s="204"/>
      <c r="K278" s="123"/>
      <c r="L278" s="123"/>
      <c r="M278" s="123"/>
      <c r="P278" s="123"/>
    </row>
    <row r="279" spans="6:16" x14ac:dyDescent="0.25">
      <c r="F279" s="123"/>
      <c r="G279" s="203"/>
      <c r="H279" s="113"/>
      <c r="I279" s="204"/>
      <c r="K279" s="123"/>
      <c r="L279" s="123"/>
      <c r="M279" s="123"/>
      <c r="P279" s="123"/>
    </row>
    <row r="280" spans="6:16" x14ac:dyDescent="0.25">
      <c r="F280" s="123"/>
      <c r="G280" s="203"/>
      <c r="H280" s="113"/>
      <c r="I280" s="204"/>
      <c r="K280" s="123"/>
      <c r="L280" s="123"/>
      <c r="M280" s="123"/>
      <c r="P280" s="123"/>
    </row>
    <row r="281" spans="6:16" x14ac:dyDescent="0.25">
      <c r="F281" s="123"/>
      <c r="G281" s="203"/>
      <c r="H281" s="113"/>
      <c r="I281" s="204"/>
      <c r="K281" s="123"/>
      <c r="L281" s="123"/>
      <c r="M281" s="123"/>
      <c r="P281" s="123"/>
    </row>
    <row r="282" spans="6:16" x14ac:dyDescent="0.25">
      <c r="F282" s="123"/>
      <c r="G282" s="203"/>
      <c r="H282" s="113"/>
      <c r="I282" s="204"/>
      <c r="K282" s="123"/>
      <c r="L282" s="123"/>
      <c r="M282" s="123"/>
      <c r="P282" s="123"/>
    </row>
    <row r="283" spans="6:16" x14ac:dyDescent="0.25">
      <c r="F283" s="123"/>
      <c r="G283" s="203"/>
      <c r="H283" s="113"/>
      <c r="I283" s="204"/>
      <c r="K283" s="123"/>
      <c r="L283" s="123"/>
      <c r="M283" s="123"/>
      <c r="P283" s="123"/>
    </row>
    <row r="284" spans="6:16" x14ac:dyDescent="0.25">
      <c r="F284" s="123"/>
      <c r="G284" s="203"/>
      <c r="H284" s="113"/>
      <c r="I284" s="204"/>
      <c r="K284" s="123"/>
      <c r="L284" s="123"/>
      <c r="M284" s="123"/>
      <c r="P284" s="123"/>
    </row>
    <row r="285" spans="6:16" x14ac:dyDescent="0.25">
      <c r="F285" s="123"/>
      <c r="G285" s="203"/>
      <c r="H285" s="113"/>
      <c r="I285" s="204"/>
      <c r="K285" s="123"/>
      <c r="L285" s="123"/>
      <c r="M285" s="123"/>
      <c r="P285" s="123"/>
    </row>
    <row r="286" spans="6:16" x14ac:dyDescent="0.25">
      <c r="F286" s="123"/>
      <c r="G286" s="203"/>
      <c r="H286" s="113"/>
      <c r="I286" s="204"/>
      <c r="K286" s="123"/>
      <c r="L286" s="123"/>
      <c r="M286" s="123"/>
      <c r="P286" s="123"/>
    </row>
    <row r="287" spans="6:16" x14ac:dyDescent="0.25">
      <c r="F287" s="123"/>
      <c r="G287" s="203"/>
      <c r="H287" s="113"/>
      <c r="I287" s="204"/>
      <c r="K287" s="123"/>
      <c r="L287" s="123"/>
      <c r="M287" s="123"/>
      <c r="P287" s="123"/>
    </row>
    <row r="288" spans="6:16" x14ac:dyDescent="0.25">
      <c r="F288" s="123"/>
      <c r="G288" s="203"/>
      <c r="H288" s="113"/>
      <c r="I288" s="204"/>
      <c r="K288" s="123"/>
      <c r="L288" s="123"/>
      <c r="M288" s="123"/>
      <c r="P288" s="123"/>
    </row>
    <row r="289" spans="6:16" x14ac:dyDescent="0.25">
      <c r="F289" s="123"/>
      <c r="G289" s="203"/>
      <c r="H289" s="113"/>
      <c r="I289" s="204"/>
      <c r="K289" s="123"/>
      <c r="L289" s="123"/>
      <c r="M289" s="123"/>
      <c r="P289" s="123"/>
    </row>
    <row r="290" spans="6:16" x14ac:dyDescent="0.25">
      <c r="F290" s="123"/>
      <c r="G290" s="203"/>
      <c r="H290" s="113"/>
      <c r="I290" s="204"/>
      <c r="K290" s="123"/>
      <c r="L290" s="123"/>
      <c r="M290" s="123"/>
      <c r="P290" s="123"/>
    </row>
    <row r="291" spans="6:16" x14ac:dyDescent="0.25">
      <c r="F291" s="123"/>
      <c r="G291" s="203"/>
      <c r="H291" s="113"/>
      <c r="I291" s="204"/>
      <c r="K291" s="123"/>
      <c r="L291" s="123"/>
      <c r="M291" s="123"/>
      <c r="P291" s="123"/>
    </row>
    <row r="292" spans="6:16" x14ac:dyDescent="0.25">
      <c r="F292" s="123"/>
      <c r="G292" s="203"/>
      <c r="H292" s="113"/>
      <c r="I292" s="204"/>
      <c r="K292" s="123"/>
      <c r="L292" s="123"/>
      <c r="M292" s="123"/>
      <c r="P292" s="123"/>
    </row>
    <row r="293" spans="6:16" x14ac:dyDescent="0.25">
      <c r="F293" s="123"/>
      <c r="G293" s="203"/>
      <c r="H293" s="113"/>
      <c r="I293" s="204"/>
      <c r="K293" s="123"/>
      <c r="L293" s="123"/>
      <c r="M293" s="123"/>
      <c r="P293" s="123"/>
    </row>
    <row r="294" spans="6:16" x14ac:dyDescent="0.25">
      <c r="F294" s="123"/>
      <c r="G294" s="203"/>
      <c r="H294" s="113"/>
      <c r="I294" s="204"/>
      <c r="K294" s="123"/>
      <c r="L294" s="123"/>
      <c r="M294" s="123"/>
      <c r="P294" s="123"/>
    </row>
    <row r="295" spans="6:16" x14ac:dyDescent="0.25">
      <c r="F295" s="123"/>
      <c r="G295" s="203"/>
      <c r="H295" s="113"/>
      <c r="I295" s="204"/>
      <c r="K295" s="123"/>
      <c r="L295" s="123"/>
      <c r="M295" s="123"/>
      <c r="P295" s="123"/>
    </row>
    <row r="296" spans="6:16" x14ac:dyDescent="0.25">
      <c r="F296" s="123"/>
      <c r="G296" s="203"/>
      <c r="H296" s="113"/>
      <c r="I296" s="204"/>
      <c r="K296" s="123"/>
      <c r="L296" s="123"/>
      <c r="M296" s="123"/>
      <c r="P296" s="123"/>
    </row>
    <row r="297" spans="6:16" x14ac:dyDescent="0.25">
      <c r="F297" s="123"/>
      <c r="G297" s="203"/>
      <c r="H297" s="113"/>
      <c r="I297" s="204"/>
      <c r="K297" s="123"/>
      <c r="L297" s="123"/>
      <c r="M297" s="123"/>
      <c r="P297" s="123"/>
    </row>
    <row r="298" spans="6:16" x14ac:dyDescent="0.25">
      <c r="F298" s="123"/>
      <c r="G298" s="203"/>
      <c r="H298" s="113"/>
      <c r="I298" s="204"/>
      <c r="K298" s="123"/>
      <c r="L298" s="123"/>
      <c r="M298" s="123"/>
      <c r="P298" s="123"/>
    </row>
    <row r="299" spans="6:16" x14ac:dyDescent="0.25">
      <c r="F299" s="123"/>
      <c r="G299" s="203"/>
      <c r="H299" s="113"/>
      <c r="I299" s="204"/>
      <c r="K299" s="123"/>
      <c r="L299" s="123"/>
      <c r="M299" s="123"/>
      <c r="P299" s="123"/>
    </row>
    <row r="300" spans="6:16" x14ac:dyDescent="0.25">
      <c r="F300" s="123"/>
      <c r="G300" s="203"/>
      <c r="H300" s="113"/>
      <c r="I300" s="204"/>
      <c r="K300" s="123"/>
      <c r="L300" s="123"/>
      <c r="M300" s="123"/>
      <c r="P300" s="123"/>
    </row>
    <row r="301" spans="6:16" x14ac:dyDescent="0.25">
      <c r="F301" s="123"/>
      <c r="G301" s="203"/>
      <c r="H301" s="113"/>
      <c r="I301" s="204"/>
      <c r="K301" s="123"/>
      <c r="L301" s="123"/>
      <c r="M301" s="123"/>
      <c r="P301" s="123"/>
    </row>
    <row r="302" spans="6:16" x14ac:dyDescent="0.25">
      <c r="F302" s="123"/>
      <c r="G302" s="203"/>
      <c r="H302" s="113"/>
      <c r="I302" s="204"/>
      <c r="K302" s="123"/>
      <c r="L302" s="123"/>
      <c r="M302" s="123"/>
      <c r="P302" s="123"/>
    </row>
    <row r="303" spans="6:16" x14ac:dyDescent="0.25">
      <c r="F303" s="123"/>
      <c r="G303" s="203"/>
      <c r="H303" s="113"/>
      <c r="I303" s="204"/>
      <c r="K303" s="123"/>
      <c r="L303" s="123"/>
      <c r="M303" s="123"/>
      <c r="P303" s="123"/>
    </row>
    <row r="304" spans="6:16" x14ac:dyDescent="0.25">
      <c r="F304" s="123"/>
      <c r="G304" s="203"/>
      <c r="H304" s="113"/>
      <c r="I304" s="204"/>
      <c r="K304" s="123"/>
      <c r="L304" s="123"/>
      <c r="M304" s="123"/>
      <c r="P304" s="123"/>
    </row>
    <row r="305" spans="6:16" x14ac:dyDescent="0.25">
      <c r="F305" s="123"/>
      <c r="G305" s="203"/>
      <c r="H305" s="113"/>
      <c r="I305" s="204"/>
      <c r="K305" s="123"/>
      <c r="L305" s="123"/>
      <c r="M305" s="123"/>
      <c r="P305" s="123"/>
    </row>
    <row r="306" spans="6:16" x14ac:dyDescent="0.25">
      <c r="F306" s="123"/>
      <c r="G306" s="203"/>
      <c r="H306" s="113"/>
      <c r="I306" s="204"/>
      <c r="K306" s="123"/>
      <c r="L306" s="123"/>
      <c r="M306" s="123"/>
      <c r="P306" s="123"/>
    </row>
    <row r="307" spans="6:16" x14ac:dyDescent="0.25">
      <c r="F307" s="123"/>
      <c r="G307" s="203"/>
      <c r="H307" s="113"/>
      <c r="I307" s="204"/>
      <c r="K307" s="123"/>
      <c r="L307" s="123"/>
      <c r="M307" s="123"/>
      <c r="P307" s="123"/>
    </row>
    <row r="308" spans="6:16" x14ac:dyDescent="0.25">
      <c r="F308" s="123"/>
      <c r="G308" s="203"/>
      <c r="H308" s="113"/>
      <c r="I308" s="204"/>
      <c r="K308" s="123"/>
      <c r="L308" s="123"/>
      <c r="M308" s="123"/>
      <c r="P308" s="123"/>
    </row>
    <row r="309" spans="6:16" x14ac:dyDescent="0.25">
      <c r="F309" s="123"/>
      <c r="G309" s="203"/>
      <c r="H309" s="113"/>
      <c r="I309" s="204"/>
      <c r="K309" s="123"/>
      <c r="L309" s="123"/>
      <c r="M309" s="123"/>
      <c r="P309" s="123"/>
    </row>
    <row r="310" spans="6:16" x14ac:dyDescent="0.25">
      <c r="F310" s="123"/>
      <c r="G310" s="203"/>
      <c r="H310" s="113"/>
      <c r="I310" s="204"/>
      <c r="K310" s="123"/>
      <c r="L310" s="123"/>
      <c r="M310" s="123"/>
      <c r="P310" s="123"/>
    </row>
    <row r="311" spans="6:16" x14ac:dyDescent="0.25">
      <c r="F311" s="123"/>
      <c r="G311" s="203"/>
      <c r="H311" s="113"/>
      <c r="I311" s="204"/>
      <c r="K311" s="123"/>
      <c r="L311" s="123"/>
      <c r="M311" s="123"/>
      <c r="P311" s="123"/>
    </row>
    <row r="312" spans="6:16" x14ac:dyDescent="0.25">
      <c r="F312" s="123"/>
      <c r="G312" s="203"/>
      <c r="H312" s="113"/>
      <c r="I312" s="204"/>
      <c r="K312" s="123"/>
      <c r="L312" s="123"/>
      <c r="M312" s="123"/>
      <c r="P312" s="123"/>
    </row>
    <row r="313" spans="6:16" x14ac:dyDescent="0.25">
      <c r="F313" s="123"/>
      <c r="G313" s="203"/>
      <c r="H313" s="113"/>
      <c r="I313" s="204"/>
      <c r="K313" s="123"/>
      <c r="L313" s="123"/>
      <c r="M313" s="123"/>
      <c r="P313" s="123"/>
    </row>
    <row r="314" spans="6:16" x14ac:dyDescent="0.25">
      <c r="F314" s="123"/>
      <c r="G314" s="203"/>
      <c r="H314" s="113"/>
      <c r="I314" s="204"/>
      <c r="K314" s="123"/>
      <c r="L314" s="123"/>
      <c r="M314" s="123"/>
      <c r="P314" s="123"/>
    </row>
    <row r="315" spans="6:16" x14ac:dyDescent="0.25">
      <c r="F315" s="123"/>
      <c r="G315" s="203"/>
      <c r="H315" s="113"/>
      <c r="I315" s="204"/>
      <c r="K315" s="123"/>
      <c r="L315" s="123"/>
      <c r="M315" s="123"/>
      <c r="P315" s="123"/>
    </row>
    <row r="316" spans="6:16" x14ac:dyDescent="0.25">
      <c r="F316" s="123"/>
      <c r="G316" s="203"/>
      <c r="H316" s="113"/>
      <c r="I316" s="204"/>
      <c r="K316" s="123"/>
      <c r="L316" s="123"/>
      <c r="M316" s="123"/>
      <c r="P316" s="123"/>
    </row>
    <row r="317" spans="6:16" x14ac:dyDescent="0.25">
      <c r="F317" s="123"/>
      <c r="G317" s="203"/>
      <c r="H317" s="113"/>
      <c r="I317" s="204"/>
      <c r="K317" s="123"/>
      <c r="L317" s="123"/>
      <c r="M317" s="123"/>
      <c r="P317" s="123"/>
    </row>
    <row r="318" spans="6:16" x14ac:dyDescent="0.25">
      <c r="F318" s="123"/>
      <c r="G318" s="203"/>
      <c r="H318" s="113"/>
      <c r="I318" s="204"/>
      <c r="K318" s="123"/>
      <c r="L318" s="123"/>
      <c r="M318" s="123"/>
      <c r="P318" s="123"/>
    </row>
    <row r="319" spans="6:16" x14ac:dyDescent="0.25">
      <c r="F319" s="123"/>
      <c r="G319" s="203"/>
      <c r="H319" s="113"/>
      <c r="I319" s="204"/>
      <c r="K319" s="123"/>
      <c r="L319" s="123"/>
      <c r="M319" s="123"/>
      <c r="P319" s="123"/>
    </row>
    <row r="320" spans="6:16" x14ac:dyDescent="0.25">
      <c r="F320" s="123"/>
      <c r="G320" s="203"/>
      <c r="H320" s="113"/>
      <c r="I320" s="204"/>
      <c r="K320" s="123"/>
      <c r="L320" s="123"/>
      <c r="M320" s="123"/>
      <c r="P320" s="123"/>
    </row>
    <row r="321" spans="6:16" x14ac:dyDescent="0.25">
      <c r="F321" s="123"/>
      <c r="G321" s="203"/>
      <c r="H321" s="113"/>
      <c r="I321" s="204"/>
      <c r="K321" s="123"/>
      <c r="L321" s="123"/>
      <c r="M321" s="123"/>
      <c r="P321" s="123"/>
    </row>
    <row r="322" spans="6:16" x14ac:dyDescent="0.25">
      <c r="F322" s="123"/>
      <c r="G322" s="203"/>
      <c r="H322" s="113"/>
      <c r="I322" s="204"/>
      <c r="K322" s="123"/>
      <c r="L322" s="123"/>
      <c r="M322" s="123"/>
      <c r="P322" s="123"/>
    </row>
    <row r="323" spans="6:16" x14ac:dyDescent="0.25">
      <c r="F323" s="123"/>
      <c r="G323" s="203"/>
      <c r="H323" s="113"/>
      <c r="I323" s="204"/>
      <c r="K323" s="123"/>
      <c r="L323" s="123"/>
      <c r="M323" s="123"/>
      <c r="P323" s="123"/>
    </row>
    <row r="324" spans="6:16" x14ac:dyDescent="0.25">
      <c r="F324" s="123"/>
      <c r="G324" s="203"/>
      <c r="H324" s="113"/>
      <c r="I324" s="204"/>
      <c r="K324" s="123"/>
      <c r="L324" s="123"/>
      <c r="M324" s="123"/>
      <c r="P324" s="123"/>
    </row>
    <row r="325" spans="6:16" x14ac:dyDescent="0.25">
      <c r="F325" s="123"/>
      <c r="G325" s="203"/>
      <c r="H325" s="113"/>
      <c r="I325" s="204"/>
      <c r="K325" s="123"/>
      <c r="L325" s="123"/>
      <c r="M325" s="123"/>
      <c r="P325" s="123"/>
    </row>
    <row r="326" spans="6:16" x14ac:dyDescent="0.25">
      <c r="F326" s="123"/>
      <c r="G326" s="203"/>
      <c r="H326" s="113"/>
      <c r="I326" s="204"/>
      <c r="K326" s="123"/>
      <c r="L326" s="123"/>
      <c r="M326" s="123"/>
      <c r="P326" s="123"/>
    </row>
    <row r="327" spans="6:16" x14ac:dyDescent="0.25">
      <c r="F327" s="123"/>
      <c r="G327" s="203"/>
      <c r="H327" s="113"/>
      <c r="I327" s="204"/>
      <c r="K327" s="123"/>
      <c r="L327" s="123"/>
      <c r="M327" s="123"/>
      <c r="P327" s="123"/>
    </row>
    <row r="328" spans="6:16" x14ac:dyDescent="0.25">
      <c r="F328" s="123"/>
      <c r="G328" s="203"/>
      <c r="H328" s="113"/>
      <c r="I328" s="204"/>
      <c r="K328" s="123"/>
      <c r="L328" s="123"/>
      <c r="M328" s="123"/>
      <c r="P328" s="123"/>
    </row>
    <row r="329" spans="6:16" x14ac:dyDescent="0.25">
      <c r="F329" s="123"/>
      <c r="G329" s="203"/>
      <c r="H329" s="113"/>
      <c r="I329" s="204"/>
      <c r="K329" s="123"/>
      <c r="L329" s="123"/>
      <c r="M329" s="123"/>
      <c r="P329" s="123"/>
    </row>
    <row r="330" spans="6:16" x14ac:dyDescent="0.25">
      <c r="F330" s="123"/>
      <c r="G330" s="203"/>
      <c r="H330" s="113"/>
      <c r="I330" s="204"/>
      <c r="K330" s="123"/>
      <c r="L330" s="123"/>
      <c r="M330" s="123"/>
      <c r="P330" s="123"/>
    </row>
    <row r="331" spans="6:16" x14ac:dyDescent="0.25">
      <c r="F331" s="123"/>
      <c r="G331" s="203"/>
      <c r="H331" s="113"/>
      <c r="I331" s="204"/>
      <c r="K331" s="123"/>
      <c r="L331" s="123"/>
      <c r="M331" s="123"/>
      <c r="P331" s="123"/>
    </row>
    <row r="332" spans="6:16" x14ac:dyDescent="0.25">
      <c r="F332" s="123"/>
      <c r="G332" s="203"/>
      <c r="H332" s="113"/>
      <c r="I332" s="204"/>
      <c r="K332" s="123"/>
      <c r="L332" s="123"/>
      <c r="M332" s="123"/>
      <c r="P332" s="123"/>
    </row>
    <row r="333" spans="6:16" x14ac:dyDescent="0.25">
      <c r="F333" s="123"/>
      <c r="G333" s="203"/>
      <c r="H333" s="113"/>
      <c r="I333" s="204"/>
      <c r="K333" s="123"/>
      <c r="L333" s="123"/>
      <c r="M333" s="123"/>
      <c r="P333" s="123"/>
    </row>
    <row r="334" spans="6:16" x14ac:dyDescent="0.25">
      <c r="F334" s="123"/>
      <c r="G334" s="203"/>
      <c r="H334" s="113"/>
      <c r="I334" s="204"/>
      <c r="K334" s="123"/>
      <c r="L334" s="123"/>
      <c r="M334" s="123"/>
      <c r="P334" s="123"/>
    </row>
    <row r="335" spans="6:16" x14ac:dyDescent="0.25">
      <c r="F335" s="123"/>
      <c r="G335" s="203"/>
      <c r="H335" s="113"/>
      <c r="I335" s="204"/>
      <c r="K335" s="123"/>
      <c r="L335" s="123"/>
      <c r="M335" s="123"/>
      <c r="P335" s="123"/>
    </row>
    <row r="336" spans="6:16" x14ac:dyDescent="0.25">
      <c r="F336" s="123"/>
      <c r="G336" s="203"/>
      <c r="H336" s="113"/>
      <c r="I336" s="204"/>
      <c r="K336" s="123"/>
      <c r="L336" s="123"/>
      <c r="M336" s="123"/>
      <c r="P336" s="123"/>
    </row>
    <row r="337" spans="6:16" x14ac:dyDescent="0.25">
      <c r="F337" s="123"/>
      <c r="G337" s="203"/>
      <c r="H337" s="113"/>
      <c r="I337" s="204"/>
      <c r="K337" s="123"/>
      <c r="L337" s="123"/>
      <c r="M337" s="123"/>
      <c r="P337" s="123"/>
    </row>
    <row r="338" spans="6:16" x14ac:dyDescent="0.25">
      <c r="F338" s="123"/>
      <c r="G338" s="203"/>
      <c r="H338" s="113"/>
      <c r="I338" s="204"/>
      <c r="K338" s="123"/>
      <c r="L338" s="123"/>
      <c r="M338" s="123"/>
      <c r="P338" s="123"/>
    </row>
    <row r="339" spans="6:16" x14ac:dyDescent="0.25">
      <c r="F339" s="123"/>
      <c r="G339" s="203"/>
      <c r="H339" s="113"/>
      <c r="I339" s="204"/>
      <c r="K339" s="123"/>
      <c r="L339" s="123"/>
      <c r="M339" s="123"/>
      <c r="P339" s="123"/>
    </row>
    <row r="340" spans="6:16" x14ac:dyDescent="0.25">
      <c r="F340" s="123"/>
      <c r="G340" s="203"/>
      <c r="H340" s="113"/>
      <c r="I340" s="204"/>
      <c r="K340" s="123"/>
      <c r="L340" s="123"/>
      <c r="M340" s="123"/>
      <c r="P340" s="123"/>
    </row>
    <row r="341" spans="6:16" x14ac:dyDescent="0.25">
      <c r="F341" s="123"/>
      <c r="G341" s="203"/>
      <c r="H341" s="113"/>
      <c r="I341" s="204"/>
      <c r="K341" s="123"/>
      <c r="L341" s="123"/>
      <c r="M341" s="123"/>
      <c r="P341" s="123"/>
    </row>
    <row r="342" spans="6:16" x14ac:dyDescent="0.25">
      <c r="F342" s="123"/>
      <c r="G342" s="203"/>
      <c r="H342" s="113"/>
      <c r="I342" s="204"/>
      <c r="K342" s="123"/>
      <c r="L342" s="123"/>
      <c r="M342" s="123"/>
      <c r="P342" s="123"/>
    </row>
    <row r="343" spans="6:16" x14ac:dyDescent="0.25">
      <c r="F343" s="123"/>
      <c r="G343" s="203"/>
      <c r="H343" s="113"/>
      <c r="I343" s="204"/>
      <c r="K343" s="123"/>
      <c r="L343" s="123"/>
      <c r="M343" s="123"/>
      <c r="P343" s="123"/>
    </row>
    <row r="344" spans="6:16" x14ac:dyDescent="0.25">
      <c r="F344" s="123"/>
      <c r="G344" s="203"/>
      <c r="H344" s="113"/>
      <c r="I344" s="204"/>
      <c r="K344" s="123"/>
      <c r="L344" s="123"/>
      <c r="M344" s="123"/>
      <c r="P344" s="123"/>
    </row>
    <row r="345" spans="6:16" x14ac:dyDescent="0.25">
      <c r="F345" s="123"/>
      <c r="G345" s="203"/>
      <c r="H345" s="113"/>
      <c r="I345" s="204"/>
      <c r="K345" s="123"/>
      <c r="L345" s="123"/>
      <c r="M345" s="123"/>
      <c r="P345" s="123"/>
    </row>
    <row r="346" spans="6:16" x14ac:dyDescent="0.25">
      <c r="F346" s="123"/>
      <c r="G346" s="203"/>
      <c r="H346" s="113"/>
      <c r="I346" s="204"/>
      <c r="K346" s="123"/>
      <c r="L346" s="123"/>
      <c r="M346" s="123"/>
      <c r="P346" s="123"/>
    </row>
    <row r="347" spans="6:16" x14ac:dyDescent="0.25">
      <c r="F347" s="123"/>
      <c r="G347" s="203"/>
      <c r="H347" s="113"/>
      <c r="I347" s="204"/>
      <c r="K347" s="123"/>
      <c r="L347" s="123"/>
      <c r="M347" s="123"/>
      <c r="P347" s="123"/>
    </row>
    <row r="348" spans="6:16" x14ac:dyDescent="0.25">
      <c r="F348" s="123"/>
      <c r="G348" s="203"/>
      <c r="H348" s="113"/>
      <c r="I348" s="204"/>
      <c r="K348" s="123"/>
      <c r="L348" s="123"/>
      <c r="M348" s="123"/>
      <c r="P348" s="123"/>
    </row>
    <row r="349" spans="6:16" x14ac:dyDescent="0.25">
      <c r="F349" s="123"/>
      <c r="G349" s="203"/>
      <c r="H349" s="113"/>
      <c r="I349" s="204"/>
      <c r="K349" s="123"/>
      <c r="L349" s="123"/>
      <c r="M349" s="123"/>
      <c r="P349" s="123"/>
    </row>
    <row r="350" spans="6:16" x14ac:dyDescent="0.25">
      <c r="F350" s="123"/>
      <c r="G350" s="203"/>
      <c r="H350" s="113"/>
      <c r="I350" s="204"/>
      <c r="K350" s="123"/>
      <c r="L350" s="123"/>
      <c r="M350" s="123"/>
      <c r="P350" s="123"/>
    </row>
    <row r="351" spans="6:16" x14ac:dyDescent="0.25">
      <c r="F351" s="123"/>
      <c r="G351" s="203"/>
      <c r="H351" s="113"/>
      <c r="I351" s="204"/>
      <c r="K351" s="123"/>
      <c r="L351" s="123"/>
      <c r="M351" s="123"/>
      <c r="P351" s="123"/>
    </row>
    <row r="352" spans="6:16" x14ac:dyDescent="0.25">
      <c r="F352" s="123"/>
      <c r="G352" s="203"/>
      <c r="H352" s="113"/>
      <c r="I352" s="204"/>
      <c r="K352" s="123"/>
      <c r="L352" s="123"/>
      <c r="M352" s="123"/>
      <c r="P352" s="123"/>
    </row>
    <row r="353" spans="6:16" x14ac:dyDescent="0.25">
      <c r="F353" s="123"/>
      <c r="G353" s="203"/>
      <c r="H353" s="113"/>
      <c r="I353" s="204"/>
      <c r="K353" s="123"/>
      <c r="L353" s="123"/>
      <c r="M353" s="123"/>
      <c r="P353" s="123"/>
    </row>
    <row r="354" spans="6:16" x14ac:dyDescent="0.25">
      <c r="F354" s="123"/>
      <c r="G354" s="203"/>
      <c r="H354" s="113"/>
      <c r="I354" s="204"/>
      <c r="K354" s="123"/>
      <c r="L354" s="123"/>
      <c r="M354" s="123"/>
      <c r="P354" s="123"/>
    </row>
    <row r="355" spans="6:16" x14ac:dyDescent="0.25">
      <c r="F355" s="123"/>
      <c r="G355" s="203"/>
      <c r="H355" s="113"/>
      <c r="I355" s="204"/>
      <c r="K355" s="123"/>
      <c r="L355" s="123"/>
      <c r="M355" s="123"/>
      <c r="P355" s="123"/>
    </row>
    <row r="356" spans="6:16" x14ac:dyDescent="0.25">
      <c r="F356" s="123"/>
      <c r="G356" s="203"/>
      <c r="H356" s="113"/>
      <c r="I356" s="204"/>
      <c r="K356" s="123"/>
      <c r="L356" s="123"/>
      <c r="M356" s="123"/>
      <c r="P356" s="123"/>
    </row>
    <row r="357" spans="6:16" x14ac:dyDescent="0.25">
      <c r="F357" s="123"/>
      <c r="G357" s="203"/>
      <c r="H357" s="113"/>
      <c r="I357" s="204"/>
      <c r="K357" s="123"/>
      <c r="L357" s="123"/>
      <c r="M357" s="123"/>
      <c r="P357" s="123"/>
    </row>
    <row r="358" spans="6:16" x14ac:dyDescent="0.25">
      <c r="F358" s="123"/>
      <c r="G358" s="203"/>
      <c r="H358" s="113"/>
      <c r="I358" s="204"/>
      <c r="K358" s="123"/>
      <c r="L358" s="123"/>
      <c r="M358" s="123"/>
      <c r="P358" s="123"/>
    </row>
    <row r="359" spans="6:16" x14ac:dyDescent="0.25">
      <c r="F359" s="123"/>
      <c r="G359" s="203"/>
      <c r="H359" s="113"/>
      <c r="I359" s="204"/>
      <c r="K359" s="123"/>
      <c r="L359" s="123"/>
      <c r="M359" s="123"/>
      <c r="P359" s="123"/>
    </row>
    <row r="360" spans="6:16" x14ac:dyDescent="0.25">
      <c r="F360" s="123"/>
      <c r="G360" s="203"/>
      <c r="H360" s="113"/>
      <c r="I360" s="204"/>
      <c r="K360" s="123"/>
      <c r="L360" s="123"/>
      <c r="M360" s="123"/>
      <c r="P360" s="123"/>
    </row>
    <row r="361" spans="6:16" x14ac:dyDescent="0.25">
      <c r="F361" s="123"/>
      <c r="G361" s="203"/>
      <c r="H361" s="113"/>
      <c r="I361" s="204"/>
      <c r="K361" s="123"/>
      <c r="L361" s="123"/>
      <c r="M361" s="123"/>
      <c r="P361" s="123"/>
    </row>
    <row r="362" spans="6:16" x14ac:dyDescent="0.25">
      <c r="F362" s="123"/>
      <c r="G362" s="203"/>
      <c r="H362" s="113"/>
      <c r="I362" s="204"/>
      <c r="K362" s="123"/>
      <c r="L362" s="123"/>
      <c r="M362" s="123"/>
      <c r="P362" s="123"/>
    </row>
    <row r="363" spans="6:16" x14ac:dyDescent="0.25">
      <c r="F363" s="123"/>
      <c r="G363" s="203"/>
      <c r="H363" s="113"/>
      <c r="I363" s="204"/>
      <c r="K363" s="123"/>
      <c r="L363" s="123"/>
      <c r="M363" s="123"/>
      <c r="P363" s="123"/>
    </row>
    <row r="364" spans="6:16" x14ac:dyDescent="0.25">
      <c r="F364" s="123"/>
      <c r="G364" s="203"/>
      <c r="H364" s="113"/>
      <c r="I364" s="204"/>
      <c r="K364" s="123"/>
      <c r="L364" s="123"/>
      <c r="M364" s="123"/>
      <c r="P364" s="123"/>
    </row>
    <row r="365" spans="6:16" x14ac:dyDescent="0.25">
      <c r="F365" s="123"/>
      <c r="G365" s="203"/>
      <c r="H365" s="113"/>
      <c r="I365" s="204"/>
      <c r="K365" s="123"/>
      <c r="L365" s="123"/>
      <c r="M365" s="123"/>
      <c r="P365" s="123"/>
    </row>
    <row r="366" spans="6:16" x14ac:dyDescent="0.25">
      <c r="F366" s="123"/>
      <c r="G366" s="203"/>
      <c r="H366" s="113"/>
      <c r="I366" s="204"/>
      <c r="K366" s="123"/>
      <c r="L366" s="123"/>
      <c r="M366" s="123"/>
      <c r="P366" s="123"/>
    </row>
    <row r="367" spans="6:16" x14ac:dyDescent="0.25">
      <c r="F367" s="123"/>
      <c r="G367" s="203"/>
      <c r="H367" s="113"/>
      <c r="I367" s="204"/>
      <c r="K367" s="123"/>
      <c r="L367" s="123"/>
      <c r="M367" s="123"/>
      <c r="P367" s="123"/>
    </row>
    <row r="368" spans="6:16" x14ac:dyDescent="0.25">
      <c r="F368" s="123"/>
      <c r="G368" s="203"/>
      <c r="H368" s="113"/>
      <c r="I368" s="204"/>
      <c r="K368" s="123"/>
      <c r="L368" s="123"/>
      <c r="M368" s="123"/>
      <c r="P368" s="123"/>
    </row>
    <row r="369" spans="6:16" x14ac:dyDescent="0.25">
      <c r="F369" s="123"/>
      <c r="G369" s="203"/>
      <c r="H369" s="113"/>
      <c r="I369" s="204"/>
      <c r="K369" s="123"/>
      <c r="L369" s="123"/>
      <c r="M369" s="123"/>
      <c r="P369" s="123"/>
    </row>
    <row r="370" spans="6:16" x14ac:dyDescent="0.25">
      <c r="F370" s="123"/>
      <c r="G370" s="203"/>
      <c r="H370" s="113"/>
      <c r="I370" s="204"/>
      <c r="K370" s="123"/>
      <c r="L370" s="123"/>
      <c r="M370" s="123"/>
      <c r="P370" s="123"/>
    </row>
    <row r="371" spans="6:16" x14ac:dyDescent="0.25">
      <c r="F371" s="123"/>
      <c r="G371" s="203"/>
      <c r="H371" s="113"/>
      <c r="I371" s="204"/>
      <c r="K371" s="123"/>
      <c r="L371" s="123"/>
      <c r="M371" s="123"/>
      <c r="P371" s="123"/>
    </row>
    <row r="372" spans="6:16" x14ac:dyDescent="0.25">
      <c r="F372" s="123"/>
      <c r="G372" s="203"/>
      <c r="H372" s="113"/>
      <c r="I372" s="204"/>
      <c r="K372" s="123"/>
      <c r="L372" s="123"/>
      <c r="M372" s="123"/>
      <c r="P372" s="123"/>
    </row>
    <row r="373" spans="6:16" x14ac:dyDescent="0.25">
      <c r="F373" s="123"/>
      <c r="G373" s="203"/>
      <c r="H373" s="113"/>
      <c r="I373" s="204"/>
      <c r="K373" s="123"/>
      <c r="L373" s="123"/>
      <c r="M373" s="123"/>
      <c r="P373" s="123"/>
    </row>
    <row r="374" spans="6:16" x14ac:dyDescent="0.25">
      <c r="F374" s="123"/>
      <c r="G374" s="203"/>
      <c r="H374" s="113"/>
      <c r="I374" s="204"/>
      <c r="K374" s="123"/>
      <c r="L374" s="123"/>
      <c r="M374" s="123"/>
      <c r="P374" s="123"/>
    </row>
    <row r="375" spans="6:16" x14ac:dyDescent="0.25">
      <c r="F375" s="123"/>
      <c r="G375" s="203"/>
      <c r="H375" s="113"/>
      <c r="I375" s="204"/>
      <c r="K375" s="123"/>
      <c r="L375" s="123"/>
      <c r="M375" s="123"/>
      <c r="P375" s="123"/>
    </row>
    <row r="376" spans="6:16" x14ac:dyDescent="0.25">
      <c r="F376" s="123"/>
      <c r="G376" s="203"/>
      <c r="H376" s="113"/>
      <c r="I376" s="204"/>
      <c r="K376" s="123"/>
      <c r="L376" s="123"/>
      <c r="M376" s="123"/>
      <c r="P376" s="123"/>
    </row>
    <row r="377" spans="6:16" x14ac:dyDescent="0.25">
      <c r="F377" s="123"/>
      <c r="G377" s="203"/>
      <c r="H377" s="113"/>
      <c r="I377" s="204"/>
      <c r="K377" s="123"/>
      <c r="L377" s="123"/>
      <c r="M377" s="123"/>
      <c r="P377" s="123"/>
    </row>
    <row r="378" spans="6:16" x14ac:dyDescent="0.25">
      <c r="F378" s="123"/>
      <c r="G378" s="203"/>
      <c r="H378" s="113"/>
      <c r="I378" s="204"/>
      <c r="K378" s="123"/>
      <c r="L378" s="123"/>
      <c r="M378" s="123"/>
      <c r="P378" s="123"/>
    </row>
    <row r="379" spans="6:16" x14ac:dyDescent="0.25">
      <c r="F379" s="123"/>
      <c r="G379" s="203"/>
      <c r="H379" s="113"/>
      <c r="I379" s="204"/>
      <c r="K379" s="123"/>
      <c r="L379" s="123"/>
      <c r="M379" s="123"/>
      <c r="P379" s="123"/>
    </row>
    <row r="380" spans="6:16" x14ac:dyDescent="0.25">
      <c r="F380" s="123"/>
      <c r="G380" s="203"/>
      <c r="H380" s="113"/>
      <c r="I380" s="204"/>
      <c r="K380" s="123"/>
      <c r="L380" s="123"/>
      <c r="M380" s="123"/>
      <c r="P380" s="123"/>
    </row>
    <row r="381" spans="6:16" x14ac:dyDescent="0.25">
      <c r="F381" s="123"/>
      <c r="G381" s="203"/>
      <c r="H381" s="113"/>
      <c r="I381" s="204"/>
      <c r="K381" s="123"/>
      <c r="L381" s="123"/>
      <c r="M381" s="123"/>
      <c r="P381" s="123"/>
    </row>
    <row r="382" spans="6:16" x14ac:dyDescent="0.25">
      <c r="F382" s="123"/>
      <c r="G382" s="203"/>
      <c r="H382" s="113"/>
      <c r="I382" s="204"/>
      <c r="K382" s="123"/>
      <c r="L382" s="123"/>
      <c r="M382" s="123"/>
      <c r="P382" s="123"/>
    </row>
    <row r="383" spans="6:16" x14ac:dyDescent="0.25">
      <c r="F383" s="123"/>
      <c r="G383" s="203"/>
      <c r="H383" s="113"/>
      <c r="I383" s="204"/>
      <c r="K383" s="123"/>
      <c r="L383" s="123"/>
      <c r="M383" s="123"/>
      <c r="P383" s="123"/>
    </row>
    <row r="384" spans="6:16" x14ac:dyDescent="0.25">
      <c r="F384" s="123"/>
      <c r="G384" s="203"/>
      <c r="H384" s="113"/>
      <c r="I384" s="204"/>
      <c r="K384" s="123"/>
      <c r="L384" s="123"/>
      <c r="M384" s="123"/>
      <c r="P384" s="123"/>
    </row>
    <row r="385" spans="6:16" x14ac:dyDescent="0.25">
      <c r="F385" s="123"/>
      <c r="G385" s="203"/>
      <c r="H385" s="113"/>
      <c r="I385" s="204"/>
      <c r="K385" s="123"/>
      <c r="L385" s="123"/>
      <c r="M385" s="123"/>
      <c r="P385" s="123"/>
    </row>
    <row r="386" spans="6:16" x14ac:dyDescent="0.25">
      <c r="F386" s="123"/>
      <c r="G386" s="203"/>
      <c r="H386" s="113"/>
      <c r="I386" s="204"/>
      <c r="K386" s="123"/>
      <c r="L386" s="123"/>
      <c r="M386" s="123"/>
      <c r="P386" s="123"/>
    </row>
    <row r="387" spans="6:16" x14ac:dyDescent="0.25">
      <c r="F387" s="123"/>
      <c r="G387" s="203"/>
      <c r="H387" s="113"/>
      <c r="I387" s="204"/>
      <c r="K387" s="123"/>
      <c r="L387" s="123"/>
      <c r="M387" s="123"/>
      <c r="P387" s="123"/>
    </row>
    <row r="388" spans="6:16" x14ac:dyDescent="0.25">
      <c r="F388" s="123"/>
      <c r="G388" s="203"/>
      <c r="H388" s="113"/>
      <c r="I388" s="204"/>
      <c r="K388" s="123"/>
      <c r="L388" s="123"/>
      <c r="M388" s="123"/>
      <c r="P388" s="123"/>
    </row>
    <row r="389" spans="6:16" x14ac:dyDescent="0.25">
      <c r="F389" s="123"/>
      <c r="G389" s="203"/>
      <c r="H389" s="113"/>
      <c r="I389" s="204"/>
      <c r="K389" s="123"/>
      <c r="L389" s="123"/>
      <c r="M389" s="123"/>
      <c r="P389" s="123"/>
    </row>
    <row r="390" spans="6:16" x14ac:dyDescent="0.25">
      <c r="F390" s="123"/>
      <c r="G390" s="203"/>
      <c r="H390" s="113"/>
      <c r="I390" s="204"/>
      <c r="K390" s="123"/>
      <c r="L390" s="123"/>
      <c r="M390" s="123"/>
      <c r="P390" s="123"/>
    </row>
    <row r="391" spans="6:16" x14ac:dyDescent="0.25">
      <c r="F391" s="123"/>
      <c r="G391" s="203"/>
      <c r="H391" s="113"/>
      <c r="I391" s="204"/>
      <c r="K391" s="123"/>
      <c r="L391" s="123"/>
      <c r="M391" s="123"/>
      <c r="P391" s="123"/>
    </row>
    <row r="392" spans="6:16" x14ac:dyDescent="0.25">
      <c r="F392" s="123"/>
      <c r="G392" s="203"/>
      <c r="H392" s="113"/>
      <c r="I392" s="204"/>
      <c r="K392" s="123"/>
      <c r="L392" s="123"/>
      <c r="M392" s="123"/>
      <c r="P392" s="123"/>
    </row>
    <row r="393" spans="6:16" x14ac:dyDescent="0.25">
      <c r="F393" s="123"/>
      <c r="G393" s="203"/>
      <c r="H393" s="113"/>
      <c r="I393" s="204"/>
      <c r="K393" s="123"/>
      <c r="L393" s="123"/>
      <c r="M393" s="123"/>
      <c r="P393" s="123"/>
    </row>
    <row r="394" spans="6:16" x14ac:dyDescent="0.25">
      <c r="F394" s="123"/>
      <c r="G394" s="203"/>
      <c r="H394" s="113"/>
      <c r="I394" s="204"/>
      <c r="K394" s="123"/>
      <c r="L394" s="123"/>
      <c r="M394" s="123"/>
      <c r="P394" s="123"/>
    </row>
    <row r="395" spans="6:16" x14ac:dyDescent="0.25">
      <c r="F395" s="123"/>
      <c r="G395" s="203"/>
      <c r="H395" s="113"/>
      <c r="I395" s="204"/>
      <c r="K395" s="123"/>
      <c r="L395" s="123"/>
      <c r="M395" s="123"/>
      <c r="P395" s="123"/>
    </row>
    <row r="396" spans="6:16" x14ac:dyDescent="0.25">
      <c r="F396" s="123"/>
      <c r="G396" s="203"/>
      <c r="H396" s="113"/>
      <c r="I396" s="204"/>
      <c r="K396" s="123"/>
      <c r="L396" s="123"/>
      <c r="M396" s="123"/>
      <c r="P396" s="123"/>
    </row>
    <row r="397" spans="6:16" x14ac:dyDescent="0.25">
      <c r="F397" s="123"/>
      <c r="G397" s="203"/>
      <c r="H397" s="113"/>
      <c r="I397" s="204"/>
      <c r="K397" s="123"/>
      <c r="L397" s="123"/>
      <c r="M397" s="123"/>
      <c r="P397" s="123"/>
    </row>
    <row r="398" spans="6:16" x14ac:dyDescent="0.25">
      <c r="F398" s="123"/>
      <c r="G398" s="203"/>
      <c r="H398" s="113"/>
      <c r="I398" s="204"/>
      <c r="K398" s="123"/>
      <c r="L398" s="123"/>
      <c r="M398" s="123"/>
      <c r="P398" s="123"/>
    </row>
    <row r="399" spans="6:16" x14ac:dyDescent="0.25">
      <c r="F399" s="123"/>
      <c r="G399" s="203"/>
      <c r="H399" s="113"/>
      <c r="I399" s="204"/>
      <c r="K399" s="123"/>
      <c r="L399" s="123"/>
      <c r="M399" s="123"/>
      <c r="P399" s="123"/>
    </row>
    <row r="400" spans="6:16" x14ac:dyDescent="0.25">
      <c r="F400" s="123"/>
      <c r="G400" s="203"/>
      <c r="H400" s="113"/>
      <c r="I400" s="204"/>
      <c r="K400" s="123"/>
      <c r="L400" s="123"/>
      <c r="M400" s="123"/>
      <c r="P400" s="123"/>
    </row>
    <row r="401" spans="6:16" x14ac:dyDescent="0.25">
      <c r="F401" s="123"/>
      <c r="G401" s="203"/>
      <c r="H401" s="113"/>
      <c r="I401" s="204"/>
      <c r="K401" s="123"/>
      <c r="L401" s="123"/>
      <c r="M401" s="123"/>
      <c r="P401" s="123"/>
    </row>
    <row r="402" spans="6:16" x14ac:dyDescent="0.25">
      <c r="F402" s="123"/>
      <c r="G402" s="203"/>
      <c r="H402" s="113"/>
      <c r="I402" s="204"/>
      <c r="K402" s="123"/>
      <c r="L402" s="123"/>
      <c r="M402" s="123"/>
      <c r="P402" s="123"/>
    </row>
    <row r="403" spans="6:16" x14ac:dyDescent="0.25">
      <c r="F403" s="123"/>
      <c r="G403" s="203"/>
      <c r="H403" s="113"/>
      <c r="I403" s="204"/>
      <c r="K403" s="123"/>
      <c r="L403" s="123"/>
      <c r="M403" s="123"/>
      <c r="P403" s="123"/>
    </row>
    <row r="404" spans="6:16" x14ac:dyDescent="0.25">
      <c r="F404" s="123"/>
      <c r="G404" s="203"/>
      <c r="H404" s="113"/>
      <c r="I404" s="204"/>
      <c r="K404" s="123"/>
      <c r="L404" s="123"/>
      <c r="M404" s="123"/>
      <c r="P404" s="123"/>
    </row>
    <row r="405" spans="6:16" x14ac:dyDescent="0.25">
      <c r="F405" s="123"/>
      <c r="G405" s="203"/>
      <c r="H405" s="113"/>
      <c r="I405" s="204"/>
      <c r="K405" s="123"/>
      <c r="L405" s="123"/>
      <c r="M405" s="123"/>
      <c r="P405" s="123"/>
    </row>
    <row r="406" spans="6:16" x14ac:dyDescent="0.25">
      <c r="F406" s="123"/>
      <c r="G406" s="203"/>
      <c r="H406" s="113"/>
      <c r="I406" s="204"/>
      <c r="K406" s="123"/>
      <c r="L406" s="123"/>
      <c r="M406" s="123"/>
      <c r="P406" s="123"/>
    </row>
    <row r="407" spans="6:16" x14ac:dyDescent="0.25">
      <c r="F407" s="123"/>
      <c r="G407" s="203"/>
      <c r="H407" s="113"/>
      <c r="I407" s="204"/>
      <c r="K407" s="123"/>
      <c r="L407" s="123"/>
      <c r="M407" s="123"/>
      <c r="P407" s="123"/>
    </row>
    <row r="408" spans="6:16" x14ac:dyDescent="0.25">
      <c r="F408" s="123"/>
      <c r="G408" s="203"/>
      <c r="H408" s="113"/>
      <c r="I408" s="204"/>
      <c r="K408" s="123"/>
      <c r="L408" s="123"/>
      <c r="M408" s="123"/>
      <c r="P408" s="123"/>
    </row>
    <row r="409" spans="6:16" x14ac:dyDescent="0.25">
      <c r="F409" s="123"/>
      <c r="G409" s="203"/>
      <c r="H409" s="113"/>
      <c r="I409" s="204"/>
      <c r="K409" s="123"/>
      <c r="L409" s="123"/>
      <c r="M409" s="123"/>
      <c r="P409" s="123"/>
    </row>
    <row r="410" spans="6:16" x14ac:dyDescent="0.25">
      <c r="F410" s="123"/>
      <c r="G410" s="203"/>
      <c r="H410" s="113"/>
      <c r="I410" s="204"/>
      <c r="K410" s="123"/>
      <c r="L410" s="123"/>
      <c r="M410" s="123"/>
      <c r="P410" s="123"/>
    </row>
    <row r="411" spans="6:16" x14ac:dyDescent="0.25">
      <c r="F411" s="123"/>
      <c r="G411" s="203"/>
      <c r="H411" s="113"/>
      <c r="I411" s="204"/>
      <c r="K411" s="123"/>
      <c r="L411" s="123"/>
      <c r="M411" s="123"/>
      <c r="P411" s="123"/>
    </row>
    <row r="412" spans="6:16" x14ac:dyDescent="0.25">
      <c r="F412" s="123"/>
      <c r="G412" s="203"/>
      <c r="H412" s="113"/>
      <c r="I412" s="204"/>
      <c r="K412" s="123"/>
      <c r="L412" s="123"/>
      <c r="M412" s="123"/>
      <c r="P412" s="123"/>
    </row>
    <row r="413" spans="6:16" x14ac:dyDescent="0.25">
      <c r="F413" s="123"/>
      <c r="G413" s="203"/>
      <c r="H413" s="113"/>
      <c r="I413" s="204"/>
      <c r="K413" s="123"/>
      <c r="L413" s="123"/>
      <c r="M413" s="123"/>
      <c r="P413" s="123"/>
    </row>
    <row r="414" spans="6:16" x14ac:dyDescent="0.25">
      <c r="F414" s="123"/>
      <c r="G414" s="203"/>
      <c r="H414" s="113"/>
      <c r="I414" s="204"/>
      <c r="K414" s="123"/>
      <c r="L414" s="123"/>
      <c r="M414" s="123"/>
      <c r="P414" s="123"/>
    </row>
    <row r="415" spans="6:16" x14ac:dyDescent="0.25">
      <c r="F415" s="123"/>
      <c r="G415" s="203"/>
      <c r="H415" s="113"/>
      <c r="I415" s="204"/>
      <c r="K415" s="123"/>
      <c r="L415" s="123"/>
      <c r="M415" s="123"/>
      <c r="P415" s="123"/>
    </row>
    <row r="416" spans="6:16" x14ac:dyDescent="0.25">
      <c r="F416" s="123"/>
      <c r="G416" s="203"/>
      <c r="H416" s="113"/>
      <c r="I416" s="204"/>
      <c r="K416" s="123"/>
      <c r="L416" s="123"/>
      <c r="M416" s="123"/>
      <c r="P416" s="123"/>
    </row>
    <row r="417" spans="6:16" x14ac:dyDescent="0.25">
      <c r="F417" s="123"/>
      <c r="G417" s="203"/>
      <c r="H417" s="113"/>
      <c r="I417" s="204"/>
      <c r="K417" s="123"/>
      <c r="L417" s="123"/>
      <c r="M417" s="123"/>
      <c r="P417" s="123"/>
    </row>
    <row r="418" spans="6:16" x14ac:dyDescent="0.25">
      <c r="F418" s="123"/>
      <c r="G418" s="203"/>
      <c r="H418" s="113"/>
      <c r="I418" s="204"/>
      <c r="K418" s="123"/>
      <c r="L418" s="123"/>
      <c r="M418" s="123"/>
      <c r="P418" s="123"/>
    </row>
    <row r="419" spans="6:16" x14ac:dyDescent="0.25">
      <c r="F419" s="123"/>
      <c r="G419" s="203"/>
      <c r="H419" s="113"/>
      <c r="I419" s="204"/>
      <c r="K419" s="123"/>
      <c r="L419" s="123"/>
      <c r="M419" s="123"/>
      <c r="P419" s="123"/>
    </row>
    <row r="420" spans="6:16" x14ac:dyDescent="0.25">
      <c r="F420" s="123"/>
      <c r="G420" s="203"/>
      <c r="H420" s="113"/>
      <c r="I420" s="204"/>
      <c r="K420" s="123"/>
      <c r="L420" s="123"/>
      <c r="M420" s="123"/>
      <c r="P420" s="123"/>
    </row>
    <row r="421" spans="6:16" x14ac:dyDescent="0.25">
      <c r="F421" s="123"/>
      <c r="G421" s="203"/>
      <c r="H421" s="113"/>
      <c r="I421" s="204"/>
      <c r="K421" s="123"/>
      <c r="L421" s="123"/>
      <c r="M421" s="123"/>
      <c r="P421" s="123"/>
    </row>
    <row r="422" spans="6:16" x14ac:dyDescent="0.25">
      <c r="F422" s="123"/>
      <c r="G422" s="203"/>
      <c r="H422" s="113"/>
      <c r="I422" s="204"/>
      <c r="K422" s="123"/>
      <c r="L422" s="123"/>
      <c r="M422" s="123"/>
      <c r="P422" s="123"/>
    </row>
    <row r="423" spans="6:16" x14ac:dyDescent="0.25">
      <c r="F423" s="123"/>
      <c r="G423" s="203"/>
      <c r="H423" s="113"/>
      <c r="I423" s="204"/>
      <c r="K423" s="123"/>
      <c r="L423" s="123"/>
      <c r="M423" s="123"/>
      <c r="P423" s="123"/>
    </row>
    <row r="424" spans="6:16" x14ac:dyDescent="0.25">
      <c r="F424" s="123"/>
      <c r="G424" s="203"/>
      <c r="H424" s="113"/>
      <c r="I424" s="204"/>
      <c r="K424" s="123"/>
      <c r="L424" s="123"/>
      <c r="M424" s="123"/>
      <c r="P424" s="123"/>
    </row>
    <row r="425" spans="6:16" x14ac:dyDescent="0.25">
      <c r="F425" s="123"/>
      <c r="G425" s="203"/>
      <c r="H425" s="113"/>
      <c r="I425" s="204"/>
      <c r="K425" s="123"/>
      <c r="L425" s="123"/>
      <c r="M425" s="123"/>
      <c r="P425" s="123"/>
    </row>
    <row r="426" spans="6:16" x14ac:dyDescent="0.25">
      <c r="F426" s="123"/>
      <c r="G426" s="203"/>
      <c r="H426" s="113"/>
      <c r="I426" s="204"/>
      <c r="K426" s="123"/>
      <c r="L426" s="123"/>
      <c r="M426" s="123"/>
      <c r="P426" s="123"/>
    </row>
    <row r="427" spans="6:16" x14ac:dyDescent="0.25">
      <c r="F427" s="123"/>
      <c r="G427" s="203"/>
      <c r="H427" s="113"/>
      <c r="I427" s="204"/>
      <c r="K427" s="123"/>
      <c r="L427" s="123"/>
      <c r="M427" s="123"/>
      <c r="P427" s="123"/>
    </row>
    <row r="428" spans="6:16" x14ac:dyDescent="0.25">
      <c r="F428" s="123"/>
      <c r="G428" s="203"/>
      <c r="H428" s="113"/>
      <c r="I428" s="204"/>
      <c r="K428" s="123"/>
      <c r="L428" s="123"/>
      <c r="M428" s="123"/>
      <c r="P428" s="123"/>
    </row>
    <row r="429" spans="6:16" x14ac:dyDescent="0.25">
      <c r="F429" s="123"/>
      <c r="G429" s="203"/>
      <c r="H429" s="113"/>
      <c r="I429" s="204"/>
      <c r="K429" s="123"/>
      <c r="L429" s="123"/>
      <c r="M429" s="123"/>
      <c r="P429" s="123"/>
    </row>
    <row r="430" spans="6:16" x14ac:dyDescent="0.25">
      <c r="F430" s="123"/>
      <c r="G430" s="203"/>
      <c r="H430" s="113"/>
      <c r="I430" s="204"/>
      <c r="K430" s="123"/>
      <c r="L430" s="123"/>
      <c r="M430" s="123"/>
      <c r="P430" s="123"/>
    </row>
    <row r="431" spans="6:16" x14ac:dyDescent="0.25">
      <c r="F431" s="123"/>
      <c r="G431" s="203"/>
      <c r="H431" s="113"/>
      <c r="I431" s="204"/>
      <c r="K431" s="123"/>
      <c r="L431" s="123"/>
      <c r="M431" s="123"/>
      <c r="P431" s="123"/>
    </row>
    <row r="432" spans="6:16" x14ac:dyDescent="0.25">
      <c r="F432" s="123"/>
      <c r="G432" s="203"/>
      <c r="H432" s="113"/>
      <c r="I432" s="204"/>
      <c r="K432" s="123"/>
      <c r="L432" s="123"/>
      <c r="M432" s="123"/>
      <c r="P432" s="123"/>
    </row>
    <row r="433" spans="6:16" x14ac:dyDescent="0.25">
      <c r="F433" s="123"/>
      <c r="G433" s="203"/>
      <c r="H433" s="113"/>
      <c r="I433" s="204"/>
      <c r="K433" s="123"/>
      <c r="L433" s="123"/>
      <c r="M433" s="123"/>
      <c r="P433" s="123"/>
    </row>
    <row r="434" spans="6:16" x14ac:dyDescent="0.25">
      <c r="F434" s="123"/>
      <c r="G434" s="203"/>
      <c r="H434" s="113"/>
      <c r="I434" s="204"/>
      <c r="K434" s="123"/>
      <c r="L434" s="123"/>
      <c r="M434" s="123"/>
      <c r="P434" s="123"/>
    </row>
    <row r="435" spans="6:16" x14ac:dyDescent="0.25">
      <c r="F435" s="123"/>
      <c r="G435" s="203"/>
      <c r="H435" s="113"/>
      <c r="I435" s="204"/>
      <c r="K435" s="123"/>
      <c r="L435" s="123"/>
      <c r="M435" s="123"/>
      <c r="P435" s="123"/>
    </row>
    <row r="436" spans="6:16" x14ac:dyDescent="0.25">
      <c r="F436" s="123"/>
      <c r="G436" s="203"/>
      <c r="H436" s="113"/>
      <c r="I436" s="204"/>
      <c r="K436" s="123"/>
      <c r="L436" s="123"/>
      <c r="M436" s="123"/>
      <c r="P436" s="123"/>
    </row>
    <row r="437" spans="6:16" x14ac:dyDescent="0.25">
      <c r="F437" s="123"/>
      <c r="G437" s="203"/>
      <c r="H437" s="113"/>
      <c r="I437" s="204"/>
      <c r="K437" s="123"/>
      <c r="L437" s="123"/>
      <c r="M437" s="123"/>
      <c r="P437" s="123"/>
    </row>
    <row r="438" spans="6:16" x14ac:dyDescent="0.25">
      <c r="F438" s="123"/>
      <c r="G438" s="203"/>
      <c r="H438" s="113"/>
      <c r="I438" s="204"/>
      <c r="K438" s="123"/>
      <c r="L438" s="123"/>
      <c r="M438" s="123"/>
      <c r="P438" s="123"/>
    </row>
    <row r="439" spans="6:16" x14ac:dyDescent="0.25">
      <c r="F439" s="123"/>
      <c r="G439" s="203"/>
      <c r="H439" s="113"/>
      <c r="I439" s="204"/>
      <c r="K439" s="123"/>
      <c r="L439" s="123"/>
      <c r="M439" s="123"/>
      <c r="P439" s="123"/>
    </row>
    <row r="440" spans="6:16" x14ac:dyDescent="0.25">
      <c r="F440" s="123"/>
      <c r="G440" s="203"/>
      <c r="H440" s="113"/>
      <c r="I440" s="204"/>
      <c r="K440" s="123"/>
      <c r="L440" s="123"/>
      <c r="M440" s="123"/>
      <c r="P440" s="123"/>
    </row>
    <row r="441" spans="6:16" x14ac:dyDescent="0.25">
      <c r="F441" s="123"/>
      <c r="G441" s="203"/>
      <c r="H441" s="113"/>
      <c r="I441" s="204"/>
      <c r="K441" s="123"/>
      <c r="L441" s="123"/>
      <c r="M441" s="123"/>
      <c r="P441" s="123"/>
    </row>
    <row r="442" spans="6:16" x14ac:dyDescent="0.25">
      <c r="F442" s="123"/>
      <c r="G442" s="203"/>
      <c r="H442" s="113"/>
      <c r="I442" s="204"/>
      <c r="K442" s="123"/>
      <c r="L442" s="123"/>
      <c r="M442" s="123"/>
      <c r="P442" s="123"/>
    </row>
    <row r="443" spans="6:16" x14ac:dyDescent="0.25">
      <c r="F443" s="123"/>
      <c r="G443" s="203"/>
      <c r="H443" s="113"/>
      <c r="I443" s="204"/>
      <c r="K443" s="123"/>
      <c r="L443" s="123"/>
      <c r="M443" s="123"/>
      <c r="P443" s="123"/>
    </row>
    <row r="444" spans="6:16" x14ac:dyDescent="0.25">
      <c r="F444" s="123"/>
      <c r="G444" s="203"/>
      <c r="H444" s="113"/>
      <c r="I444" s="204"/>
      <c r="K444" s="123"/>
      <c r="L444" s="123"/>
      <c r="M444" s="123"/>
      <c r="P444" s="123"/>
    </row>
    <row r="445" spans="6:16" x14ac:dyDescent="0.25">
      <c r="F445" s="123"/>
      <c r="G445" s="203"/>
      <c r="H445" s="113"/>
      <c r="I445" s="204"/>
      <c r="K445" s="123"/>
      <c r="L445" s="123"/>
      <c r="M445" s="123"/>
      <c r="P445" s="123"/>
    </row>
    <row r="446" spans="6:16" x14ac:dyDescent="0.25">
      <c r="F446" s="123"/>
      <c r="G446" s="203"/>
      <c r="H446" s="113"/>
      <c r="I446" s="204"/>
      <c r="K446" s="123"/>
      <c r="L446" s="123"/>
      <c r="M446" s="123"/>
      <c r="P446" s="123"/>
    </row>
    <row r="447" spans="6:16" x14ac:dyDescent="0.25">
      <c r="F447" s="123"/>
      <c r="G447" s="203"/>
      <c r="H447" s="113"/>
      <c r="I447" s="204"/>
      <c r="K447" s="123"/>
      <c r="L447" s="123"/>
      <c r="M447" s="123"/>
      <c r="P447" s="123"/>
    </row>
    <row r="448" spans="6:16" x14ac:dyDescent="0.25">
      <c r="F448" s="123"/>
      <c r="G448" s="203"/>
      <c r="H448" s="113"/>
      <c r="I448" s="204"/>
      <c r="K448" s="123"/>
      <c r="L448" s="123"/>
      <c r="M448" s="123"/>
      <c r="P448" s="123"/>
    </row>
    <row r="449" spans="6:16" x14ac:dyDescent="0.25">
      <c r="F449" s="123"/>
      <c r="G449" s="203"/>
      <c r="H449" s="113"/>
      <c r="I449" s="204"/>
      <c r="K449" s="123"/>
      <c r="L449" s="123"/>
      <c r="M449" s="123"/>
      <c r="P449" s="123"/>
    </row>
    <row r="450" spans="6:16" x14ac:dyDescent="0.25">
      <c r="F450" s="123"/>
      <c r="G450" s="203"/>
      <c r="H450" s="113"/>
      <c r="I450" s="204"/>
      <c r="K450" s="123"/>
      <c r="L450" s="123"/>
      <c r="M450" s="123"/>
      <c r="P450" s="123"/>
    </row>
    <row r="451" spans="6:16" x14ac:dyDescent="0.25">
      <c r="F451" s="123"/>
      <c r="G451" s="203"/>
      <c r="H451" s="113"/>
      <c r="I451" s="204"/>
      <c r="K451" s="123"/>
      <c r="L451" s="123"/>
      <c r="M451" s="123"/>
      <c r="P451" s="123"/>
    </row>
    <row r="452" spans="6:16" x14ac:dyDescent="0.25">
      <c r="F452" s="123"/>
      <c r="G452" s="203"/>
      <c r="H452" s="113"/>
      <c r="I452" s="204"/>
      <c r="K452" s="123"/>
      <c r="L452" s="123"/>
      <c r="M452" s="123"/>
      <c r="P452" s="123"/>
    </row>
    <row r="453" spans="6:16" x14ac:dyDescent="0.25">
      <c r="F453" s="123"/>
      <c r="G453" s="203"/>
      <c r="H453" s="113"/>
      <c r="I453" s="204"/>
      <c r="K453" s="123"/>
      <c r="L453" s="123"/>
      <c r="M453" s="123"/>
      <c r="P453" s="123"/>
    </row>
    <row r="454" spans="6:16" x14ac:dyDescent="0.25">
      <c r="F454" s="123"/>
      <c r="G454" s="203"/>
      <c r="H454" s="113"/>
      <c r="I454" s="204"/>
      <c r="K454" s="123"/>
      <c r="L454" s="123"/>
      <c r="M454" s="123"/>
      <c r="P454" s="123"/>
    </row>
    <row r="455" spans="6:16" x14ac:dyDescent="0.25">
      <c r="F455" s="123"/>
      <c r="G455" s="203"/>
      <c r="H455" s="113"/>
      <c r="I455" s="204"/>
      <c r="K455" s="123"/>
      <c r="L455" s="123"/>
      <c r="M455" s="123"/>
      <c r="P455" s="123"/>
    </row>
    <row r="456" spans="6:16" x14ac:dyDescent="0.25">
      <c r="F456" s="123"/>
      <c r="G456" s="203"/>
      <c r="H456" s="113"/>
      <c r="I456" s="204"/>
      <c r="K456" s="123"/>
      <c r="L456" s="123"/>
      <c r="M456" s="123"/>
      <c r="P456" s="123"/>
    </row>
    <row r="457" spans="6:16" x14ac:dyDescent="0.25">
      <c r="F457" s="123"/>
      <c r="G457" s="203"/>
      <c r="H457" s="113"/>
      <c r="I457" s="204"/>
      <c r="K457" s="123"/>
      <c r="L457" s="123"/>
      <c r="M457" s="123"/>
      <c r="P457" s="123"/>
    </row>
    <row r="458" spans="6:16" x14ac:dyDescent="0.25">
      <c r="F458" s="123"/>
      <c r="G458" s="203"/>
      <c r="H458" s="113"/>
      <c r="I458" s="204"/>
      <c r="K458" s="123"/>
      <c r="L458" s="123"/>
      <c r="M458" s="123"/>
      <c r="P458" s="123"/>
    </row>
    <row r="459" spans="6:16" x14ac:dyDescent="0.25">
      <c r="F459" s="123"/>
      <c r="G459" s="203"/>
      <c r="H459" s="113"/>
      <c r="I459" s="204"/>
      <c r="K459" s="123"/>
      <c r="L459" s="123"/>
      <c r="M459" s="123"/>
      <c r="P459" s="123"/>
    </row>
    <row r="460" spans="6:16" x14ac:dyDescent="0.25">
      <c r="F460" s="123"/>
      <c r="G460" s="203"/>
      <c r="H460" s="113"/>
      <c r="I460" s="204"/>
      <c r="K460" s="123"/>
      <c r="L460" s="123"/>
      <c r="M460" s="123"/>
      <c r="P460" s="123"/>
    </row>
    <row r="461" spans="6:16" x14ac:dyDescent="0.25">
      <c r="F461" s="123"/>
      <c r="G461" s="203"/>
      <c r="H461" s="113"/>
      <c r="I461" s="204"/>
      <c r="K461" s="123"/>
      <c r="L461" s="123"/>
      <c r="M461" s="123"/>
      <c r="P461" s="123"/>
    </row>
    <row r="462" spans="6:16" x14ac:dyDescent="0.25">
      <c r="F462" s="123"/>
      <c r="G462" s="203"/>
      <c r="H462" s="113"/>
      <c r="I462" s="204"/>
      <c r="K462" s="123"/>
      <c r="L462" s="123"/>
      <c r="M462" s="123"/>
      <c r="P462" s="123"/>
    </row>
    <row r="463" spans="6:16" x14ac:dyDescent="0.25">
      <c r="F463" s="123"/>
      <c r="G463" s="203"/>
      <c r="H463" s="113"/>
      <c r="I463" s="204"/>
      <c r="K463" s="123"/>
      <c r="L463" s="123"/>
      <c r="M463" s="123"/>
      <c r="P463" s="123"/>
    </row>
    <row r="464" spans="6:16" x14ac:dyDescent="0.25">
      <c r="F464" s="123"/>
      <c r="G464" s="203"/>
      <c r="H464" s="113"/>
      <c r="I464" s="204"/>
      <c r="K464" s="123"/>
      <c r="L464" s="123"/>
      <c r="M464" s="123"/>
      <c r="P464" s="123"/>
    </row>
    <row r="465" spans="6:16" x14ac:dyDescent="0.25">
      <c r="F465" s="123"/>
      <c r="G465" s="203"/>
      <c r="H465" s="113"/>
      <c r="I465" s="204"/>
      <c r="K465" s="123"/>
      <c r="L465" s="123"/>
      <c r="M465" s="123"/>
      <c r="P465" s="123"/>
    </row>
    <row r="466" spans="6:16" x14ac:dyDescent="0.25">
      <c r="F466" s="123"/>
      <c r="G466" s="203"/>
      <c r="H466" s="113"/>
      <c r="I466" s="204"/>
      <c r="K466" s="123"/>
      <c r="L466" s="123"/>
      <c r="M466" s="123"/>
      <c r="P466" s="123"/>
    </row>
    <row r="467" spans="6:16" x14ac:dyDescent="0.25">
      <c r="F467" s="123"/>
      <c r="G467" s="203"/>
      <c r="H467" s="113"/>
      <c r="I467" s="204"/>
      <c r="K467" s="123"/>
      <c r="L467" s="123"/>
      <c r="M467" s="123"/>
      <c r="P467" s="123"/>
    </row>
    <row r="468" spans="6:16" x14ac:dyDescent="0.25">
      <c r="F468" s="123"/>
      <c r="G468" s="203"/>
      <c r="H468" s="113"/>
      <c r="I468" s="204"/>
      <c r="K468" s="123"/>
      <c r="L468" s="123"/>
      <c r="M468" s="123"/>
      <c r="P468" s="123"/>
    </row>
    <row r="469" spans="6:16" x14ac:dyDescent="0.25">
      <c r="F469" s="123"/>
      <c r="G469" s="203"/>
      <c r="H469" s="113"/>
      <c r="I469" s="204"/>
      <c r="K469" s="123"/>
      <c r="L469" s="123"/>
      <c r="M469" s="123"/>
      <c r="P469" s="123"/>
    </row>
    <row r="470" spans="6:16" x14ac:dyDescent="0.25">
      <c r="F470" s="123"/>
      <c r="G470" s="203"/>
      <c r="H470" s="113"/>
      <c r="I470" s="204"/>
      <c r="K470" s="123"/>
      <c r="L470" s="123"/>
      <c r="M470" s="123"/>
      <c r="P470" s="123"/>
    </row>
    <row r="471" spans="6:16" x14ac:dyDescent="0.25">
      <c r="F471" s="123"/>
      <c r="G471" s="203"/>
      <c r="H471" s="113"/>
      <c r="I471" s="204"/>
      <c r="K471" s="123"/>
      <c r="L471" s="123"/>
      <c r="M471" s="123"/>
      <c r="P471" s="123"/>
    </row>
    <row r="472" spans="6:16" x14ac:dyDescent="0.25">
      <c r="F472" s="123"/>
      <c r="G472" s="203"/>
      <c r="H472" s="113"/>
      <c r="I472" s="204"/>
      <c r="K472" s="123"/>
      <c r="L472" s="123"/>
      <c r="M472" s="123"/>
      <c r="P472" s="123"/>
    </row>
    <row r="473" spans="6:16" x14ac:dyDescent="0.25">
      <c r="F473" s="123"/>
      <c r="G473" s="203"/>
      <c r="H473" s="113"/>
      <c r="I473" s="204"/>
      <c r="K473" s="123"/>
      <c r="L473" s="123"/>
      <c r="M473" s="123"/>
      <c r="P473" s="123"/>
    </row>
    <row r="474" spans="6:16" x14ac:dyDescent="0.25">
      <c r="F474" s="123"/>
      <c r="G474" s="203"/>
      <c r="H474" s="113"/>
      <c r="I474" s="204"/>
      <c r="K474" s="123"/>
      <c r="L474" s="123"/>
      <c r="M474" s="123"/>
      <c r="P474" s="123"/>
    </row>
    <row r="475" spans="6:16" x14ac:dyDescent="0.25">
      <c r="F475" s="123"/>
      <c r="G475" s="203"/>
      <c r="H475" s="113"/>
      <c r="I475" s="204"/>
      <c r="K475" s="123"/>
      <c r="L475" s="123"/>
      <c r="M475" s="123"/>
      <c r="P475" s="123"/>
    </row>
    <row r="476" spans="6:16" x14ac:dyDescent="0.25">
      <c r="F476" s="123"/>
      <c r="G476" s="203"/>
      <c r="H476" s="113"/>
      <c r="I476" s="204"/>
      <c r="K476" s="123"/>
      <c r="L476" s="123"/>
      <c r="M476" s="123"/>
      <c r="P476" s="123"/>
    </row>
    <row r="477" spans="6:16" x14ac:dyDescent="0.25">
      <c r="F477" s="123"/>
      <c r="G477" s="203"/>
      <c r="H477" s="113"/>
      <c r="I477" s="204"/>
      <c r="K477" s="123"/>
      <c r="L477" s="123"/>
      <c r="M477" s="123"/>
      <c r="P477" s="123"/>
    </row>
    <row r="478" spans="6:16" x14ac:dyDescent="0.25">
      <c r="F478" s="123"/>
      <c r="G478" s="203"/>
      <c r="H478" s="113"/>
      <c r="I478" s="204"/>
      <c r="K478" s="123"/>
      <c r="L478" s="123"/>
      <c r="M478" s="123"/>
      <c r="P478" s="123"/>
    </row>
    <row r="479" spans="6:16" x14ac:dyDescent="0.25">
      <c r="F479" s="123"/>
      <c r="G479" s="203"/>
      <c r="H479" s="113"/>
      <c r="I479" s="204"/>
      <c r="K479" s="123"/>
      <c r="L479" s="123"/>
      <c r="M479" s="123"/>
      <c r="P479" s="123"/>
    </row>
    <row r="480" spans="6:16" x14ac:dyDescent="0.25">
      <c r="F480" s="123"/>
      <c r="G480" s="203"/>
      <c r="H480" s="113"/>
      <c r="I480" s="204"/>
      <c r="K480" s="123"/>
      <c r="L480" s="123"/>
      <c r="M480" s="123"/>
      <c r="P480" s="123"/>
    </row>
    <row r="481" spans="6:16" x14ac:dyDescent="0.25">
      <c r="F481" s="123"/>
      <c r="G481" s="203"/>
      <c r="H481" s="113"/>
      <c r="I481" s="204"/>
      <c r="K481" s="123"/>
      <c r="L481" s="123"/>
      <c r="M481" s="123"/>
      <c r="P481" s="123"/>
    </row>
    <row r="482" spans="6:16" x14ac:dyDescent="0.25">
      <c r="F482" s="123"/>
      <c r="G482" s="203"/>
      <c r="H482" s="113"/>
      <c r="I482" s="204"/>
      <c r="K482" s="123"/>
      <c r="L482" s="123"/>
      <c r="M482" s="123"/>
      <c r="P482" s="123"/>
    </row>
    <row r="483" spans="6:16" x14ac:dyDescent="0.25">
      <c r="F483" s="123"/>
      <c r="G483" s="203"/>
      <c r="H483" s="113"/>
      <c r="I483" s="204"/>
      <c r="K483" s="123"/>
      <c r="L483" s="123"/>
      <c r="M483" s="123"/>
      <c r="P483" s="123"/>
    </row>
    <row r="484" spans="6:16" x14ac:dyDescent="0.25">
      <c r="F484" s="123"/>
      <c r="G484" s="203"/>
      <c r="H484" s="113"/>
      <c r="I484" s="204"/>
      <c r="K484" s="123"/>
      <c r="L484" s="123"/>
      <c r="M484" s="123"/>
      <c r="P484" s="123"/>
    </row>
    <row r="485" spans="6:16" x14ac:dyDescent="0.25">
      <c r="F485" s="123"/>
      <c r="G485" s="203"/>
      <c r="H485" s="113"/>
      <c r="I485" s="204"/>
      <c r="K485" s="123"/>
      <c r="L485" s="123"/>
      <c r="M485" s="123"/>
      <c r="P485" s="123"/>
    </row>
    <row r="486" spans="6:16" x14ac:dyDescent="0.25">
      <c r="F486" s="123"/>
      <c r="G486" s="203"/>
      <c r="H486" s="113"/>
      <c r="I486" s="204"/>
      <c r="K486" s="123"/>
      <c r="L486" s="123"/>
      <c r="M486" s="123"/>
      <c r="P486" s="123"/>
    </row>
    <row r="487" spans="6:16" x14ac:dyDescent="0.25">
      <c r="F487" s="123"/>
      <c r="G487" s="203"/>
      <c r="H487" s="113"/>
      <c r="I487" s="204"/>
      <c r="K487" s="123"/>
      <c r="L487" s="123"/>
      <c r="M487" s="123"/>
      <c r="P487" s="123"/>
    </row>
    <row r="488" spans="6:16" x14ac:dyDescent="0.25">
      <c r="F488" s="123"/>
      <c r="G488" s="203"/>
      <c r="H488" s="113"/>
      <c r="I488" s="204"/>
      <c r="K488" s="123"/>
      <c r="L488" s="123"/>
      <c r="M488" s="123"/>
      <c r="P488" s="123"/>
    </row>
    <row r="489" spans="6:16" x14ac:dyDescent="0.25">
      <c r="F489" s="123"/>
      <c r="G489" s="203"/>
      <c r="H489" s="113"/>
      <c r="I489" s="204"/>
      <c r="K489" s="123"/>
      <c r="L489" s="123"/>
      <c r="M489" s="123"/>
      <c r="P489" s="123"/>
    </row>
    <row r="490" spans="6:16" x14ac:dyDescent="0.25">
      <c r="F490" s="123"/>
      <c r="G490" s="203"/>
      <c r="H490" s="113"/>
      <c r="I490" s="204"/>
      <c r="K490" s="123"/>
      <c r="L490" s="123"/>
      <c r="M490" s="123"/>
      <c r="P490" s="123"/>
    </row>
    <row r="491" spans="6:16" x14ac:dyDescent="0.25">
      <c r="F491" s="123"/>
      <c r="G491" s="203"/>
      <c r="H491" s="113"/>
      <c r="I491" s="204"/>
      <c r="K491" s="123"/>
      <c r="L491" s="123"/>
      <c r="M491" s="123"/>
      <c r="P491" s="123"/>
    </row>
    <row r="492" spans="6:16" x14ac:dyDescent="0.25">
      <c r="F492" s="123"/>
      <c r="G492" s="203"/>
      <c r="H492" s="113"/>
      <c r="I492" s="204"/>
      <c r="K492" s="123"/>
      <c r="L492" s="123"/>
      <c r="M492" s="123"/>
      <c r="P492" s="123"/>
    </row>
    <row r="493" spans="6:16" x14ac:dyDescent="0.25">
      <c r="F493" s="123"/>
      <c r="G493" s="203"/>
      <c r="H493" s="113"/>
      <c r="I493" s="204"/>
      <c r="K493" s="123"/>
      <c r="L493" s="123"/>
      <c r="M493" s="123"/>
      <c r="P493" s="123"/>
    </row>
    <row r="494" spans="6:16" x14ac:dyDescent="0.25">
      <c r="F494" s="123"/>
      <c r="G494" s="203"/>
      <c r="H494" s="113"/>
      <c r="I494" s="204"/>
      <c r="K494" s="123"/>
      <c r="L494" s="123"/>
      <c r="M494" s="123"/>
      <c r="P494" s="123"/>
    </row>
    <row r="495" spans="6:16" x14ac:dyDescent="0.25">
      <c r="F495" s="123"/>
      <c r="G495" s="203"/>
      <c r="H495" s="113"/>
      <c r="I495" s="204"/>
      <c r="K495" s="123"/>
      <c r="L495" s="123"/>
      <c r="M495" s="123"/>
      <c r="P495" s="123"/>
    </row>
    <row r="496" spans="6:16" x14ac:dyDescent="0.25">
      <c r="F496" s="123"/>
      <c r="G496" s="203"/>
      <c r="H496" s="113"/>
      <c r="I496" s="204"/>
      <c r="K496" s="123"/>
      <c r="L496" s="123"/>
      <c r="M496" s="123"/>
      <c r="P496" s="123"/>
    </row>
    <row r="497" spans="6:16" x14ac:dyDescent="0.25">
      <c r="F497" s="123"/>
      <c r="G497" s="203"/>
      <c r="H497" s="113"/>
      <c r="I497" s="204"/>
      <c r="K497" s="123"/>
      <c r="L497" s="123"/>
      <c r="M497" s="123"/>
      <c r="P497" s="123"/>
    </row>
    <row r="498" spans="6:16" x14ac:dyDescent="0.25">
      <c r="F498" s="123"/>
      <c r="G498" s="203"/>
      <c r="H498" s="113"/>
      <c r="I498" s="204"/>
      <c r="K498" s="123"/>
      <c r="L498" s="123"/>
      <c r="M498" s="123"/>
      <c r="P498" s="123"/>
    </row>
    <row r="499" spans="6:16" x14ac:dyDescent="0.25">
      <c r="F499" s="123"/>
      <c r="G499" s="203"/>
      <c r="H499" s="113"/>
      <c r="I499" s="204"/>
      <c r="K499" s="123"/>
      <c r="L499" s="123"/>
      <c r="M499" s="123"/>
      <c r="P499" s="123"/>
    </row>
    <row r="500" spans="6:16" x14ac:dyDescent="0.25">
      <c r="F500" s="123"/>
      <c r="G500" s="203"/>
      <c r="H500" s="113"/>
      <c r="I500" s="204"/>
      <c r="K500" s="123"/>
      <c r="L500" s="123"/>
      <c r="M500" s="123"/>
      <c r="P500" s="123"/>
    </row>
    <row r="501" spans="6:16" x14ac:dyDescent="0.25">
      <c r="F501" s="123"/>
      <c r="G501" s="203"/>
      <c r="H501" s="113"/>
      <c r="I501" s="204"/>
      <c r="K501" s="123"/>
      <c r="L501" s="123"/>
      <c r="M501" s="123"/>
      <c r="P501" s="123"/>
    </row>
    <row r="502" spans="6:16" x14ac:dyDescent="0.25">
      <c r="F502" s="123"/>
      <c r="G502" s="203"/>
      <c r="H502" s="113"/>
      <c r="I502" s="204"/>
      <c r="K502" s="123"/>
      <c r="L502" s="123"/>
      <c r="M502" s="123"/>
      <c r="P502" s="123"/>
    </row>
    <row r="503" spans="6:16" x14ac:dyDescent="0.25">
      <c r="F503" s="123"/>
      <c r="G503" s="203"/>
      <c r="H503" s="113"/>
      <c r="I503" s="204"/>
      <c r="K503" s="123"/>
      <c r="L503" s="123"/>
      <c r="M503" s="123"/>
      <c r="P503" s="123"/>
    </row>
    <row r="504" spans="6:16" x14ac:dyDescent="0.25">
      <c r="F504" s="123"/>
      <c r="G504" s="203"/>
      <c r="H504" s="113"/>
      <c r="I504" s="204"/>
      <c r="K504" s="123"/>
      <c r="L504" s="123"/>
      <c r="M504" s="123"/>
      <c r="P504" s="123"/>
    </row>
    <row r="505" spans="6:16" x14ac:dyDescent="0.25">
      <c r="F505" s="123"/>
      <c r="G505" s="203"/>
      <c r="H505" s="113"/>
      <c r="I505" s="204"/>
      <c r="K505" s="123"/>
      <c r="L505" s="123"/>
      <c r="M505" s="123"/>
      <c r="P505" s="123"/>
    </row>
    <row r="506" spans="6:16" x14ac:dyDescent="0.25">
      <c r="F506" s="123"/>
      <c r="G506" s="203"/>
      <c r="H506" s="113"/>
      <c r="I506" s="204"/>
      <c r="K506" s="123"/>
      <c r="L506" s="123"/>
      <c r="M506" s="123"/>
      <c r="P506" s="123"/>
    </row>
    <row r="507" spans="6:16" x14ac:dyDescent="0.25">
      <c r="F507" s="123"/>
      <c r="G507" s="203"/>
      <c r="H507" s="113"/>
      <c r="I507" s="204"/>
      <c r="K507" s="123"/>
      <c r="L507" s="123"/>
      <c r="M507" s="123"/>
      <c r="P507" s="123"/>
    </row>
    <row r="508" spans="6:16" x14ac:dyDescent="0.25">
      <c r="F508" s="123"/>
      <c r="G508" s="203"/>
      <c r="H508" s="113"/>
      <c r="I508" s="204"/>
      <c r="K508" s="123"/>
      <c r="L508" s="123"/>
      <c r="M508" s="123"/>
      <c r="P508" s="123"/>
    </row>
    <row r="509" spans="6:16" x14ac:dyDescent="0.25">
      <c r="F509" s="123"/>
      <c r="G509" s="203"/>
      <c r="H509" s="113"/>
      <c r="I509" s="204"/>
      <c r="K509" s="123"/>
      <c r="L509" s="123"/>
      <c r="M509" s="123"/>
      <c r="P509" s="123"/>
    </row>
    <row r="510" spans="6:16" x14ac:dyDescent="0.25">
      <c r="F510" s="123"/>
      <c r="G510" s="203"/>
      <c r="H510" s="113"/>
      <c r="I510" s="204"/>
      <c r="K510" s="123"/>
      <c r="L510" s="123"/>
      <c r="M510" s="123"/>
      <c r="P510" s="123"/>
    </row>
    <row r="511" spans="6:16" x14ac:dyDescent="0.25">
      <c r="F511" s="123"/>
      <c r="G511" s="203"/>
      <c r="H511" s="113"/>
      <c r="I511" s="204"/>
      <c r="K511" s="123"/>
      <c r="L511" s="123"/>
      <c r="M511" s="123"/>
      <c r="P511" s="123"/>
    </row>
    <row r="512" spans="6:16" x14ac:dyDescent="0.25">
      <c r="F512" s="123"/>
      <c r="G512" s="203"/>
      <c r="H512" s="113"/>
      <c r="I512" s="204"/>
      <c r="K512" s="123"/>
      <c r="L512" s="123"/>
      <c r="M512" s="123"/>
      <c r="P512" s="123"/>
    </row>
    <row r="513" spans="6:16" x14ac:dyDescent="0.25">
      <c r="F513" s="123"/>
      <c r="G513" s="203"/>
      <c r="H513" s="113"/>
      <c r="I513" s="204"/>
      <c r="K513" s="123"/>
      <c r="L513" s="123"/>
      <c r="M513" s="123"/>
      <c r="P513" s="123"/>
    </row>
    <row r="514" spans="6:16" x14ac:dyDescent="0.25">
      <c r="F514" s="123"/>
      <c r="G514" s="203"/>
      <c r="H514" s="113"/>
      <c r="I514" s="204"/>
      <c r="K514" s="123"/>
      <c r="L514" s="123"/>
      <c r="M514" s="123"/>
      <c r="P514" s="123"/>
    </row>
    <row r="515" spans="6:16" x14ac:dyDescent="0.25">
      <c r="F515" s="123"/>
      <c r="G515" s="203"/>
      <c r="H515" s="113"/>
      <c r="I515" s="204"/>
      <c r="K515" s="123"/>
      <c r="L515" s="123"/>
      <c r="M515" s="123"/>
      <c r="P515" s="123"/>
    </row>
    <row r="516" spans="6:16" x14ac:dyDescent="0.25">
      <c r="F516" s="123"/>
      <c r="G516" s="203"/>
      <c r="H516" s="113"/>
      <c r="I516" s="204"/>
      <c r="K516" s="123"/>
      <c r="L516" s="123"/>
      <c r="M516" s="123"/>
      <c r="P516" s="123"/>
    </row>
    <row r="517" spans="6:16" x14ac:dyDescent="0.25">
      <c r="F517" s="123"/>
      <c r="G517" s="203"/>
      <c r="H517" s="113"/>
      <c r="I517" s="204"/>
      <c r="K517" s="123"/>
      <c r="L517" s="123"/>
      <c r="M517" s="123"/>
      <c r="P517" s="123"/>
    </row>
    <row r="518" spans="6:16" x14ac:dyDescent="0.25">
      <c r="F518" s="123"/>
      <c r="G518" s="203"/>
      <c r="H518" s="113"/>
      <c r="I518" s="204"/>
      <c r="K518" s="123"/>
      <c r="L518" s="123"/>
      <c r="M518" s="123"/>
      <c r="P518" s="123"/>
    </row>
    <row r="519" spans="6:16" x14ac:dyDescent="0.25">
      <c r="F519" s="123"/>
      <c r="G519" s="203"/>
      <c r="H519" s="113"/>
      <c r="I519" s="204"/>
      <c r="K519" s="123"/>
      <c r="L519" s="123"/>
      <c r="M519" s="123"/>
      <c r="P519" s="123"/>
    </row>
    <row r="520" spans="6:16" x14ac:dyDescent="0.25">
      <c r="F520" s="123"/>
      <c r="G520" s="203"/>
      <c r="H520" s="113"/>
      <c r="I520" s="204"/>
      <c r="K520" s="123"/>
      <c r="L520" s="123"/>
      <c r="M520" s="123"/>
      <c r="P520" s="123"/>
    </row>
    <row r="521" spans="6:16" x14ac:dyDescent="0.25">
      <c r="F521" s="123"/>
      <c r="G521" s="203"/>
      <c r="H521" s="113"/>
      <c r="I521" s="204"/>
      <c r="K521" s="123"/>
      <c r="L521" s="123"/>
      <c r="M521" s="123"/>
      <c r="P521" s="123"/>
    </row>
    <row r="522" spans="6:16" x14ac:dyDescent="0.25">
      <c r="F522" s="123"/>
      <c r="G522" s="203"/>
      <c r="H522" s="113"/>
      <c r="I522" s="204"/>
      <c r="K522" s="123"/>
      <c r="L522" s="123"/>
      <c r="M522" s="123"/>
      <c r="P522" s="123"/>
    </row>
    <row r="523" spans="6:16" x14ac:dyDescent="0.25">
      <c r="F523" s="123"/>
      <c r="G523" s="203"/>
      <c r="H523" s="113"/>
      <c r="I523" s="204"/>
      <c r="K523" s="123"/>
      <c r="L523" s="123"/>
      <c r="M523" s="123"/>
      <c r="P523" s="123"/>
    </row>
    <row r="524" spans="6:16" x14ac:dyDescent="0.25">
      <c r="F524" s="123"/>
      <c r="G524" s="203"/>
      <c r="H524" s="113"/>
      <c r="I524" s="204"/>
      <c r="K524" s="123"/>
      <c r="L524" s="123"/>
      <c r="M524" s="123"/>
      <c r="P524" s="123"/>
    </row>
    <row r="525" spans="6:16" x14ac:dyDescent="0.25">
      <c r="F525" s="123"/>
      <c r="G525" s="203"/>
      <c r="H525" s="113"/>
      <c r="I525" s="204"/>
      <c r="K525" s="123"/>
      <c r="L525" s="123"/>
      <c r="M525" s="123"/>
      <c r="P525" s="123"/>
    </row>
    <row r="526" spans="6:16" x14ac:dyDescent="0.25">
      <c r="F526" s="123"/>
      <c r="G526" s="203"/>
      <c r="H526" s="113"/>
      <c r="I526" s="204"/>
      <c r="K526" s="123"/>
      <c r="L526" s="123"/>
      <c r="M526" s="123"/>
      <c r="P526" s="123"/>
    </row>
    <row r="527" spans="6:16" x14ac:dyDescent="0.25">
      <c r="F527" s="123"/>
      <c r="G527" s="203"/>
      <c r="H527" s="113"/>
      <c r="I527" s="204"/>
      <c r="K527" s="123"/>
      <c r="L527" s="123"/>
      <c r="M527" s="123"/>
      <c r="P527" s="123"/>
    </row>
    <row r="528" spans="6:16" x14ac:dyDescent="0.25">
      <c r="F528" s="123"/>
      <c r="G528" s="203"/>
      <c r="H528" s="113"/>
      <c r="I528" s="204"/>
      <c r="K528" s="123"/>
      <c r="L528" s="123"/>
      <c r="M528" s="123"/>
      <c r="P528" s="123"/>
    </row>
    <row r="529" spans="6:16" x14ac:dyDescent="0.25">
      <c r="F529" s="123"/>
      <c r="G529" s="203"/>
      <c r="H529" s="113"/>
      <c r="I529" s="204"/>
      <c r="K529" s="123"/>
      <c r="L529" s="123"/>
      <c r="M529" s="123"/>
      <c r="P529" s="123"/>
    </row>
    <row r="530" spans="6:16" x14ac:dyDescent="0.25">
      <c r="F530" s="123"/>
      <c r="G530" s="203"/>
      <c r="H530" s="113"/>
      <c r="I530" s="204"/>
      <c r="K530" s="123"/>
      <c r="L530" s="123"/>
      <c r="M530" s="123"/>
      <c r="P530" s="123"/>
    </row>
    <row r="531" spans="6:16" x14ac:dyDescent="0.25">
      <c r="F531" s="123"/>
      <c r="G531" s="203"/>
      <c r="H531" s="113"/>
      <c r="I531" s="204"/>
      <c r="K531" s="123"/>
      <c r="L531" s="123"/>
      <c r="M531" s="123"/>
      <c r="P531" s="123"/>
    </row>
    <row r="532" spans="6:16" x14ac:dyDescent="0.25">
      <c r="F532" s="123"/>
      <c r="G532" s="203"/>
      <c r="H532" s="113"/>
      <c r="I532" s="204"/>
      <c r="K532" s="123"/>
      <c r="L532" s="123"/>
      <c r="M532" s="123"/>
      <c r="P532" s="123"/>
    </row>
    <row r="533" spans="6:16" x14ac:dyDescent="0.25">
      <c r="F533" s="123"/>
      <c r="G533" s="203"/>
      <c r="H533" s="113"/>
      <c r="I533" s="204"/>
      <c r="K533" s="123"/>
      <c r="L533" s="123"/>
      <c r="M533" s="123"/>
      <c r="P533" s="123"/>
    </row>
    <row r="534" spans="6:16" x14ac:dyDescent="0.25">
      <c r="F534" s="123"/>
      <c r="G534" s="203"/>
      <c r="H534" s="113"/>
      <c r="I534" s="204"/>
      <c r="K534" s="123"/>
      <c r="L534" s="123"/>
      <c r="M534" s="123"/>
      <c r="P534" s="123"/>
    </row>
    <row r="535" spans="6:16" x14ac:dyDescent="0.25">
      <c r="F535" s="123"/>
      <c r="G535" s="203"/>
      <c r="H535" s="113"/>
      <c r="I535" s="204"/>
      <c r="K535" s="123"/>
      <c r="L535" s="123"/>
      <c r="M535" s="123"/>
      <c r="P535" s="123"/>
    </row>
    <row r="536" spans="6:16" x14ac:dyDescent="0.25">
      <c r="F536" s="123"/>
      <c r="G536" s="203"/>
      <c r="H536" s="113"/>
      <c r="I536" s="204"/>
      <c r="K536" s="123"/>
      <c r="L536" s="123"/>
      <c r="M536" s="123"/>
      <c r="P536" s="123"/>
    </row>
    <row r="537" spans="6:16" x14ac:dyDescent="0.25">
      <c r="F537" s="123"/>
      <c r="G537" s="203"/>
      <c r="H537" s="113"/>
      <c r="I537" s="204"/>
      <c r="K537" s="123"/>
      <c r="L537" s="123"/>
      <c r="M537" s="123"/>
      <c r="P537" s="123"/>
    </row>
    <row r="538" spans="6:16" x14ac:dyDescent="0.25">
      <c r="F538" s="123"/>
      <c r="G538" s="203"/>
      <c r="H538" s="113"/>
      <c r="I538" s="204"/>
      <c r="K538" s="123"/>
      <c r="L538" s="123"/>
      <c r="M538" s="123"/>
      <c r="P538" s="123"/>
    </row>
    <row r="539" spans="6:16" x14ac:dyDescent="0.25">
      <c r="F539" s="123"/>
      <c r="G539" s="203"/>
      <c r="H539" s="113"/>
      <c r="I539" s="204"/>
      <c r="K539" s="123"/>
      <c r="L539" s="123"/>
      <c r="M539" s="123"/>
      <c r="P539" s="123"/>
    </row>
    <row r="540" spans="6:16" x14ac:dyDescent="0.25">
      <c r="F540" s="123"/>
      <c r="G540" s="203"/>
      <c r="H540" s="113"/>
      <c r="I540" s="204"/>
      <c r="K540" s="123"/>
      <c r="L540" s="123"/>
      <c r="M540" s="123"/>
      <c r="P540" s="123"/>
    </row>
    <row r="541" spans="6:16" x14ac:dyDescent="0.25">
      <c r="F541" s="123"/>
      <c r="G541" s="203"/>
      <c r="H541" s="113"/>
      <c r="I541" s="204"/>
      <c r="K541" s="123"/>
      <c r="L541" s="123"/>
      <c r="M541" s="123"/>
      <c r="P541" s="123"/>
    </row>
    <row r="542" spans="6:16" x14ac:dyDescent="0.25">
      <c r="F542" s="123"/>
      <c r="G542" s="203"/>
      <c r="H542" s="113"/>
      <c r="I542" s="204"/>
      <c r="K542" s="123"/>
      <c r="L542" s="123"/>
      <c r="M542" s="123"/>
      <c r="P542" s="123"/>
    </row>
    <row r="543" spans="6:16" x14ac:dyDescent="0.25">
      <c r="F543" s="123"/>
      <c r="G543" s="203"/>
      <c r="H543" s="113"/>
      <c r="I543" s="204"/>
      <c r="K543" s="123"/>
      <c r="L543" s="123"/>
      <c r="M543" s="123"/>
      <c r="P543" s="123"/>
    </row>
    <row r="544" spans="6:16" x14ac:dyDescent="0.25">
      <c r="F544" s="123"/>
      <c r="G544" s="203"/>
      <c r="H544" s="113"/>
      <c r="I544" s="204"/>
      <c r="K544" s="123"/>
      <c r="L544" s="123"/>
      <c r="M544" s="123"/>
      <c r="P544" s="123"/>
    </row>
    <row r="545" spans="6:16" x14ac:dyDescent="0.25">
      <c r="F545" s="123"/>
      <c r="G545" s="203"/>
      <c r="H545" s="113"/>
      <c r="I545" s="204"/>
      <c r="K545" s="123"/>
      <c r="L545" s="123"/>
      <c r="M545" s="123"/>
      <c r="P545" s="123"/>
    </row>
    <row r="546" spans="6:16" x14ac:dyDescent="0.25">
      <c r="F546" s="123"/>
      <c r="G546" s="203"/>
      <c r="H546" s="113"/>
      <c r="I546" s="204"/>
      <c r="K546" s="123"/>
      <c r="L546" s="123"/>
      <c r="M546" s="123"/>
      <c r="P546" s="123"/>
    </row>
    <row r="547" spans="6:16" x14ac:dyDescent="0.25">
      <c r="F547" s="123"/>
      <c r="G547" s="203"/>
      <c r="H547" s="113"/>
      <c r="I547" s="204"/>
      <c r="K547" s="123"/>
      <c r="L547" s="123"/>
      <c r="M547" s="123"/>
      <c r="P547" s="123"/>
    </row>
    <row r="548" spans="6:16" x14ac:dyDescent="0.25">
      <c r="F548" s="123"/>
      <c r="G548" s="203"/>
      <c r="H548" s="113"/>
      <c r="I548" s="204"/>
      <c r="K548" s="123"/>
      <c r="L548" s="123"/>
      <c r="M548" s="123"/>
      <c r="P548" s="123"/>
    </row>
    <row r="549" spans="6:16" x14ac:dyDescent="0.25">
      <c r="F549" s="123"/>
      <c r="G549" s="203"/>
      <c r="H549" s="113"/>
      <c r="I549" s="204"/>
      <c r="K549" s="123"/>
      <c r="L549" s="123"/>
      <c r="M549" s="123"/>
      <c r="P549" s="123"/>
    </row>
    <row r="550" spans="6:16" x14ac:dyDescent="0.25">
      <c r="F550" s="123"/>
      <c r="G550" s="203"/>
      <c r="H550" s="113"/>
      <c r="I550" s="204"/>
      <c r="K550" s="123"/>
      <c r="L550" s="123"/>
      <c r="M550" s="123"/>
      <c r="P550" s="123"/>
    </row>
    <row r="551" spans="6:16" x14ac:dyDescent="0.25">
      <c r="F551" s="123"/>
      <c r="G551" s="203"/>
      <c r="H551" s="113"/>
      <c r="I551" s="204"/>
      <c r="K551" s="123"/>
      <c r="L551" s="123"/>
      <c r="M551" s="123"/>
      <c r="P551" s="123"/>
    </row>
    <row r="552" spans="6:16" x14ac:dyDescent="0.25">
      <c r="F552" s="123"/>
      <c r="G552" s="203"/>
      <c r="H552" s="113"/>
      <c r="I552" s="204"/>
      <c r="K552" s="123"/>
      <c r="L552" s="123"/>
      <c r="M552" s="123"/>
      <c r="P552" s="123"/>
    </row>
    <row r="553" spans="6:16" x14ac:dyDescent="0.25">
      <c r="F553" s="123"/>
      <c r="G553" s="203"/>
      <c r="H553" s="113"/>
      <c r="I553" s="204"/>
      <c r="K553" s="123"/>
      <c r="L553" s="123"/>
      <c r="M553" s="123"/>
      <c r="P553" s="123"/>
    </row>
    <row r="554" spans="6:16" x14ac:dyDescent="0.25">
      <c r="F554" s="123"/>
      <c r="G554" s="203"/>
      <c r="H554" s="113"/>
      <c r="I554" s="204"/>
      <c r="K554" s="123"/>
      <c r="L554" s="123"/>
      <c r="M554" s="123"/>
      <c r="P554" s="123"/>
    </row>
    <row r="555" spans="6:16" x14ac:dyDescent="0.25">
      <c r="F555" s="123"/>
      <c r="G555" s="203"/>
      <c r="H555" s="113"/>
      <c r="I555" s="204"/>
      <c r="K555" s="123"/>
      <c r="L555" s="123"/>
      <c r="M555" s="123"/>
      <c r="P555" s="123"/>
    </row>
    <row r="556" spans="6:16" x14ac:dyDescent="0.25">
      <c r="F556" s="123"/>
      <c r="G556" s="203"/>
      <c r="H556" s="113"/>
      <c r="I556" s="204"/>
      <c r="K556" s="123"/>
      <c r="L556" s="123"/>
      <c r="M556" s="123"/>
      <c r="P556" s="123"/>
    </row>
    <row r="557" spans="6:16" x14ac:dyDescent="0.25">
      <c r="F557" s="123"/>
      <c r="G557" s="203"/>
      <c r="H557" s="113"/>
      <c r="I557" s="204"/>
      <c r="K557" s="123"/>
      <c r="L557" s="123"/>
      <c r="M557" s="123"/>
      <c r="P557" s="123"/>
    </row>
    <row r="558" spans="6:16" x14ac:dyDescent="0.25">
      <c r="F558" s="123"/>
      <c r="G558" s="203"/>
      <c r="H558" s="113"/>
      <c r="I558" s="204"/>
      <c r="K558" s="123"/>
      <c r="L558" s="123"/>
      <c r="M558" s="123"/>
      <c r="P558" s="123"/>
    </row>
    <row r="559" spans="6:16" x14ac:dyDescent="0.25">
      <c r="F559" s="123"/>
      <c r="G559" s="203"/>
      <c r="H559" s="113"/>
      <c r="I559" s="204"/>
      <c r="K559" s="123"/>
      <c r="L559" s="123"/>
      <c r="M559" s="123"/>
      <c r="P559" s="123"/>
    </row>
    <row r="560" spans="6:16" x14ac:dyDescent="0.25">
      <c r="F560" s="123"/>
      <c r="G560" s="203"/>
      <c r="H560" s="113"/>
      <c r="I560" s="204"/>
      <c r="K560" s="123"/>
      <c r="L560" s="123"/>
      <c r="M560" s="123"/>
      <c r="P560" s="123"/>
    </row>
    <row r="561" spans="6:16" x14ac:dyDescent="0.25">
      <c r="F561" s="123"/>
      <c r="G561" s="203"/>
      <c r="H561" s="113"/>
      <c r="I561" s="204"/>
      <c r="K561" s="123"/>
      <c r="L561" s="123"/>
      <c r="M561" s="123"/>
      <c r="P561" s="123"/>
    </row>
    <row r="562" spans="6:16" x14ac:dyDescent="0.25">
      <c r="F562" s="123"/>
      <c r="G562" s="203"/>
      <c r="H562" s="113"/>
      <c r="I562" s="204"/>
      <c r="K562" s="123"/>
      <c r="L562" s="123"/>
      <c r="M562" s="123"/>
      <c r="P562" s="123"/>
    </row>
    <row r="563" spans="6:16" x14ac:dyDescent="0.25">
      <c r="F563" s="123"/>
      <c r="G563" s="203"/>
      <c r="H563" s="113"/>
      <c r="I563" s="204"/>
      <c r="K563" s="123"/>
      <c r="L563" s="123"/>
      <c r="M563" s="123"/>
      <c r="P563" s="123"/>
    </row>
    <row r="564" spans="6:16" x14ac:dyDescent="0.25">
      <c r="F564" s="123"/>
      <c r="G564" s="203"/>
      <c r="H564" s="113"/>
      <c r="I564" s="204"/>
      <c r="K564" s="123"/>
      <c r="L564" s="123"/>
      <c r="M564" s="123"/>
      <c r="P564" s="123"/>
    </row>
    <row r="565" spans="6:16" x14ac:dyDescent="0.25">
      <c r="F565" s="123"/>
      <c r="G565" s="203"/>
      <c r="H565" s="113"/>
      <c r="I565" s="204"/>
      <c r="K565" s="123"/>
      <c r="L565" s="123"/>
      <c r="M565" s="123"/>
      <c r="P565" s="123"/>
    </row>
    <row r="566" spans="6:16" x14ac:dyDescent="0.25">
      <c r="F566" s="123"/>
      <c r="G566" s="203"/>
      <c r="H566" s="113"/>
      <c r="I566" s="204"/>
      <c r="K566" s="123"/>
      <c r="L566" s="123"/>
      <c r="M566" s="123"/>
      <c r="P566" s="123"/>
    </row>
    <row r="567" spans="6:16" x14ac:dyDescent="0.25">
      <c r="F567" s="123"/>
      <c r="G567" s="203"/>
      <c r="H567" s="113"/>
      <c r="I567" s="204"/>
      <c r="K567" s="123"/>
      <c r="L567" s="123"/>
      <c r="M567" s="123"/>
      <c r="P567" s="123"/>
    </row>
    <row r="568" spans="6:16" x14ac:dyDescent="0.25">
      <c r="F568" s="123"/>
      <c r="G568" s="203"/>
      <c r="H568" s="113"/>
      <c r="I568" s="204"/>
      <c r="K568" s="123"/>
      <c r="L568" s="123"/>
      <c r="M568" s="123"/>
      <c r="P568" s="123"/>
    </row>
    <row r="569" spans="6:16" x14ac:dyDescent="0.25">
      <c r="F569" s="123"/>
      <c r="G569" s="203"/>
      <c r="H569" s="113"/>
      <c r="I569" s="204"/>
      <c r="K569" s="123"/>
      <c r="L569" s="123"/>
      <c r="M569" s="123"/>
      <c r="P569" s="123"/>
    </row>
    <row r="570" spans="6:16" x14ac:dyDescent="0.25">
      <c r="F570" s="123"/>
      <c r="G570" s="203"/>
      <c r="H570" s="113"/>
      <c r="I570" s="204"/>
      <c r="K570" s="123"/>
      <c r="L570" s="123"/>
      <c r="M570" s="123"/>
      <c r="P570" s="123"/>
    </row>
    <row r="571" spans="6:16" x14ac:dyDescent="0.25">
      <c r="F571" s="123"/>
      <c r="G571" s="203"/>
      <c r="H571" s="113"/>
      <c r="I571" s="204"/>
      <c r="K571" s="123"/>
      <c r="L571" s="123"/>
      <c r="M571" s="123"/>
      <c r="P571" s="123"/>
    </row>
    <row r="572" spans="6:16" x14ac:dyDescent="0.25">
      <c r="F572" s="123"/>
      <c r="G572" s="203"/>
      <c r="H572" s="113"/>
      <c r="I572" s="204"/>
      <c r="K572" s="123"/>
      <c r="L572" s="123"/>
      <c r="M572" s="123"/>
      <c r="P572" s="123"/>
    </row>
    <row r="573" spans="6:16" x14ac:dyDescent="0.25">
      <c r="F573" s="123"/>
      <c r="G573" s="203"/>
      <c r="H573" s="113"/>
      <c r="I573" s="204"/>
      <c r="K573" s="123"/>
      <c r="L573" s="123"/>
      <c r="M573" s="123"/>
      <c r="P573" s="123"/>
    </row>
    <row r="574" spans="6:16" x14ac:dyDescent="0.25">
      <c r="F574" s="123"/>
      <c r="G574" s="203"/>
      <c r="H574" s="113"/>
      <c r="I574" s="204"/>
      <c r="K574" s="123"/>
      <c r="L574" s="123"/>
      <c r="M574" s="123"/>
      <c r="P574" s="123"/>
    </row>
    <row r="575" spans="6:16" x14ac:dyDescent="0.25">
      <c r="F575" s="123"/>
      <c r="G575" s="203"/>
      <c r="H575" s="113"/>
      <c r="I575" s="204"/>
      <c r="K575" s="123"/>
      <c r="L575" s="123"/>
      <c r="M575" s="123"/>
      <c r="P575" s="123"/>
    </row>
    <row r="576" spans="6:16" x14ac:dyDescent="0.25">
      <c r="F576" s="123"/>
      <c r="G576" s="203"/>
      <c r="H576" s="113"/>
      <c r="I576" s="204"/>
      <c r="K576" s="123"/>
      <c r="L576" s="123"/>
      <c r="M576" s="123"/>
      <c r="P576" s="123"/>
    </row>
    <row r="577" spans="6:16" x14ac:dyDescent="0.25">
      <c r="F577" s="123"/>
      <c r="G577" s="203"/>
      <c r="H577" s="113"/>
      <c r="I577" s="204"/>
      <c r="K577" s="123"/>
      <c r="L577" s="123"/>
      <c r="M577" s="123"/>
      <c r="P577" s="123"/>
    </row>
    <row r="578" spans="6:16" x14ac:dyDescent="0.25">
      <c r="F578" s="123"/>
      <c r="G578" s="203"/>
      <c r="H578" s="113"/>
      <c r="I578" s="204"/>
      <c r="K578" s="123"/>
      <c r="L578" s="123"/>
      <c r="M578" s="123"/>
      <c r="P578" s="123"/>
    </row>
    <row r="579" spans="6:16" x14ac:dyDescent="0.25">
      <c r="F579" s="123"/>
      <c r="G579" s="203"/>
      <c r="H579" s="113"/>
      <c r="I579" s="204"/>
      <c r="K579" s="123"/>
      <c r="L579" s="123"/>
      <c r="M579" s="123"/>
      <c r="P579" s="123"/>
    </row>
    <row r="580" spans="6:16" x14ac:dyDescent="0.25">
      <c r="F580" s="123"/>
      <c r="G580" s="203"/>
      <c r="H580" s="113"/>
      <c r="I580" s="204"/>
      <c r="K580" s="123"/>
      <c r="L580" s="123"/>
      <c r="M580" s="123"/>
      <c r="P580" s="123"/>
    </row>
    <row r="581" spans="6:16" x14ac:dyDescent="0.25">
      <c r="F581" s="123"/>
      <c r="G581" s="203"/>
      <c r="H581" s="113"/>
      <c r="I581" s="204"/>
      <c r="K581" s="123"/>
      <c r="L581" s="123"/>
      <c r="M581" s="123"/>
      <c r="P581" s="123"/>
    </row>
    <row r="582" spans="6:16" x14ac:dyDescent="0.25">
      <c r="F582" s="123"/>
      <c r="G582" s="203"/>
      <c r="H582" s="113"/>
      <c r="I582" s="204"/>
      <c r="K582" s="123"/>
      <c r="L582" s="123"/>
      <c r="M582" s="123"/>
      <c r="P582" s="123"/>
    </row>
    <row r="583" spans="6:16" x14ac:dyDescent="0.25">
      <c r="F583" s="123"/>
      <c r="G583" s="203"/>
      <c r="H583" s="113"/>
      <c r="I583" s="204"/>
      <c r="K583" s="123"/>
      <c r="L583" s="123"/>
      <c r="M583" s="123"/>
      <c r="P583" s="123"/>
    </row>
    <row r="584" spans="6:16" x14ac:dyDescent="0.25">
      <c r="F584" s="123"/>
      <c r="G584" s="203"/>
      <c r="H584" s="113"/>
      <c r="I584" s="204"/>
      <c r="K584" s="123"/>
      <c r="L584" s="123"/>
      <c r="M584" s="123"/>
      <c r="P584" s="123"/>
    </row>
    <row r="585" spans="6:16" x14ac:dyDescent="0.25">
      <c r="F585" s="123"/>
      <c r="G585" s="203"/>
      <c r="H585" s="113"/>
      <c r="I585" s="204"/>
      <c r="K585" s="123"/>
      <c r="L585" s="123"/>
      <c r="M585" s="123"/>
      <c r="P585" s="123"/>
    </row>
    <row r="586" spans="6:16" x14ac:dyDescent="0.25">
      <c r="F586" s="123"/>
      <c r="G586" s="203"/>
      <c r="H586" s="113"/>
      <c r="I586" s="204"/>
      <c r="K586" s="123"/>
      <c r="L586" s="123"/>
      <c r="M586" s="123"/>
      <c r="P586" s="123"/>
    </row>
    <row r="587" spans="6:16" x14ac:dyDescent="0.25">
      <c r="F587" s="123"/>
      <c r="G587" s="203"/>
      <c r="H587" s="113"/>
      <c r="I587" s="204"/>
      <c r="K587" s="123"/>
      <c r="L587" s="123"/>
      <c r="M587" s="123"/>
      <c r="P587" s="123"/>
    </row>
    <row r="588" spans="6:16" x14ac:dyDescent="0.25">
      <c r="F588" s="123"/>
      <c r="G588" s="203"/>
      <c r="H588" s="113"/>
      <c r="I588" s="204"/>
      <c r="K588" s="123"/>
      <c r="L588" s="123"/>
      <c r="M588" s="123"/>
      <c r="P588" s="123"/>
    </row>
    <row r="589" spans="6:16" x14ac:dyDescent="0.25">
      <c r="F589" s="123"/>
      <c r="G589" s="203"/>
      <c r="H589" s="113"/>
      <c r="I589" s="204"/>
      <c r="K589" s="123"/>
      <c r="L589" s="123"/>
      <c r="M589" s="123"/>
      <c r="P589" s="123"/>
    </row>
    <row r="590" spans="6:16" x14ac:dyDescent="0.25">
      <c r="F590" s="123"/>
      <c r="G590" s="203"/>
      <c r="H590" s="113"/>
      <c r="I590" s="204"/>
      <c r="K590" s="123"/>
      <c r="L590" s="123"/>
      <c r="M590" s="123"/>
      <c r="P590" s="123"/>
    </row>
    <row r="591" spans="6:16" x14ac:dyDescent="0.25">
      <c r="F591" s="123"/>
      <c r="G591" s="203"/>
      <c r="H591" s="113"/>
      <c r="I591" s="204"/>
      <c r="K591" s="123"/>
      <c r="L591" s="123"/>
      <c r="M591" s="123"/>
      <c r="P591" s="123"/>
    </row>
    <row r="592" spans="6:16" x14ac:dyDescent="0.25">
      <c r="F592" s="123"/>
      <c r="G592" s="203"/>
      <c r="H592" s="113"/>
      <c r="I592" s="204"/>
      <c r="K592" s="123"/>
      <c r="L592" s="123"/>
      <c r="M592" s="123"/>
      <c r="P592" s="123"/>
    </row>
    <row r="593" spans="6:16" x14ac:dyDescent="0.25">
      <c r="F593" s="123"/>
      <c r="G593" s="203"/>
      <c r="H593" s="113"/>
      <c r="I593" s="204"/>
      <c r="K593" s="123"/>
      <c r="L593" s="123"/>
      <c r="M593" s="123"/>
      <c r="P593" s="123"/>
    </row>
    <row r="594" spans="6:16" x14ac:dyDescent="0.25">
      <c r="F594" s="123"/>
      <c r="G594" s="203"/>
      <c r="H594" s="113"/>
      <c r="I594" s="204"/>
      <c r="K594" s="123"/>
      <c r="L594" s="123"/>
      <c r="M594" s="123"/>
      <c r="P594" s="123"/>
    </row>
    <row r="595" spans="6:16" x14ac:dyDescent="0.25">
      <c r="F595" s="123"/>
      <c r="G595" s="203"/>
      <c r="H595" s="113"/>
      <c r="I595" s="204"/>
      <c r="K595" s="123"/>
      <c r="L595" s="123"/>
      <c r="M595" s="123"/>
      <c r="P595" s="123"/>
    </row>
    <row r="596" spans="6:16" x14ac:dyDescent="0.25">
      <c r="F596" s="123"/>
      <c r="G596" s="203"/>
      <c r="H596" s="113"/>
      <c r="I596" s="204"/>
      <c r="K596" s="123"/>
      <c r="L596" s="123"/>
      <c r="M596" s="123"/>
      <c r="P596" s="123"/>
    </row>
    <row r="597" spans="6:16" x14ac:dyDescent="0.25">
      <c r="F597" s="123"/>
      <c r="G597" s="203"/>
      <c r="H597" s="113"/>
      <c r="I597" s="204"/>
      <c r="K597" s="123"/>
      <c r="L597" s="123"/>
      <c r="M597" s="123"/>
      <c r="P597" s="123"/>
    </row>
    <row r="598" spans="6:16" x14ac:dyDescent="0.25">
      <c r="F598" s="123"/>
      <c r="G598" s="203"/>
      <c r="H598" s="113"/>
      <c r="I598" s="204"/>
      <c r="K598" s="123"/>
      <c r="L598" s="123"/>
      <c r="M598" s="123"/>
      <c r="P598" s="123"/>
    </row>
    <row r="599" spans="6:16" x14ac:dyDescent="0.25">
      <c r="F599" s="123"/>
      <c r="G599" s="203"/>
      <c r="H599" s="113"/>
      <c r="I599" s="204"/>
      <c r="K599" s="123"/>
      <c r="L599" s="123"/>
      <c r="M599" s="123"/>
      <c r="P599" s="123"/>
    </row>
    <row r="600" spans="6:16" x14ac:dyDescent="0.25">
      <c r="F600" s="123"/>
      <c r="G600" s="203"/>
      <c r="H600" s="113"/>
      <c r="I600" s="204"/>
      <c r="K600" s="123"/>
      <c r="L600" s="123"/>
      <c r="M600" s="123"/>
      <c r="P600" s="123"/>
    </row>
    <row r="601" spans="6:16" x14ac:dyDescent="0.25">
      <c r="F601" s="123"/>
      <c r="G601" s="203"/>
      <c r="H601" s="113"/>
      <c r="I601" s="204"/>
      <c r="K601" s="123"/>
      <c r="L601" s="123"/>
      <c r="M601" s="123"/>
      <c r="P601" s="123"/>
    </row>
    <row r="602" spans="6:16" x14ac:dyDescent="0.25">
      <c r="F602" s="123"/>
      <c r="G602" s="203"/>
      <c r="H602" s="113"/>
      <c r="I602" s="204"/>
      <c r="K602" s="123"/>
      <c r="L602" s="123"/>
      <c r="M602" s="123"/>
      <c r="P602" s="123"/>
    </row>
    <row r="603" spans="6:16" x14ac:dyDescent="0.25">
      <c r="F603" s="123"/>
      <c r="G603" s="203"/>
      <c r="H603" s="113"/>
      <c r="I603" s="204"/>
      <c r="K603" s="123"/>
      <c r="L603" s="123"/>
      <c r="M603" s="123"/>
      <c r="P603" s="123"/>
    </row>
    <row r="604" spans="6:16" x14ac:dyDescent="0.25">
      <c r="F604" s="123"/>
      <c r="G604" s="203"/>
      <c r="H604" s="113"/>
      <c r="I604" s="204"/>
      <c r="K604" s="123"/>
      <c r="L604" s="123"/>
      <c r="M604" s="123"/>
      <c r="P604" s="123"/>
    </row>
    <row r="605" spans="6:16" x14ac:dyDescent="0.25">
      <c r="F605" s="123"/>
      <c r="G605" s="203"/>
      <c r="H605" s="113"/>
      <c r="I605" s="204"/>
      <c r="K605" s="123"/>
      <c r="L605" s="123"/>
      <c r="M605" s="123"/>
      <c r="P605" s="123"/>
    </row>
    <row r="606" spans="6:16" x14ac:dyDescent="0.25">
      <c r="F606" s="123"/>
      <c r="G606" s="203"/>
      <c r="H606" s="113"/>
      <c r="I606" s="204"/>
      <c r="K606" s="123"/>
      <c r="L606" s="123"/>
      <c r="M606" s="123"/>
      <c r="P606" s="123"/>
    </row>
    <row r="607" spans="6:16" x14ac:dyDescent="0.25">
      <c r="F607" s="123"/>
      <c r="G607" s="203"/>
      <c r="H607" s="113"/>
      <c r="I607" s="204"/>
      <c r="K607" s="123"/>
      <c r="L607" s="123"/>
      <c r="M607" s="123"/>
      <c r="P607" s="123"/>
    </row>
    <row r="608" spans="6:16" x14ac:dyDescent="0.25">
      <c r="F608" s="123"/>
      <c r="G608" s="203"/>
      <c r="H608" s="113"/>
      <c r="I608" s="204"/>
      <c r="K608" s="123"/>
      <c r="L608" s="123"/>
      <c r="M608" s="123"/>
      <c r="P608" s="123"/>
    </row>
    <row r="609" spans="6:16" x14ac:dyDescent="0.25">
      <c r="F609" s="123"/>
      <c r="G609" s="203"/>
      <c r="H609" s="113"/>
      <c r="I609" s="204"/>
      <c r="K609" s="123"/>
      <c r="L609" s="123"/>
      <c r="M609" s="123"/>
      <c r="P609" s="123"/>
    </row>
    <row r="610" spans="6:16" x14ac:dyDescent="0.25">
      <c r="F610" s="123"/>
      <c r="G610" s="203"/>
      <c r="H610" s="113"/>
      <c r="I610" s="204"/>
      <c r="K610" s="123"/>
      <c r="L610" s="123"/>
      <c r="M610" s="123"/>
      <c r="P610" s="123"/>
    </row>
    <row r="611" spans="6:16" x14ac:dyDescent="0.25">
      <c r="F611" s="123"/>
      <c r="G611" s="203"/>
      <c r="H611" s="113"/>
      <c r="I611" s="204"/>
      <c r="K611" s="123"/>
      <c r="L611" s="123"/>
      <c r="M611" s="123"/>
      <c r="P611" s="123"/>
    </row>
    <row r="612" spans="6:16" x14ac:dyDescent="0.25">
      <c r="F612" s="123"/>
      <c r="G612" s="203"/>
      <c r="H612" s="113"/>
      <c r="I612" s="204"/>
      <c r="K612" s="123"/>
      <c r="L612" s="123"/>
      <c r="M612" s="123"/>
      <c r="P612" s="123"/>
    </row>
    <row r="613" spans="6:16" x14ac:dyDescent="0.25">
      <c r="F613" s="123"/>
      <c r="G613" s="203"/>
      <c r="H613" s="113"/>
      <c r="I613" s="204"/>
      <c r="K613" s="123"/>
      <c r="L613" s="123"/>
      <c r="M613" s="123"/>
      <c r="P613" s="123"/>
    </row>
    <row r="614" spans="6:16" x14ac:dyDescent="0.25">
      <c r="F614" s="123"/>
      <c r="G614" s="203"/>
      <c r="H614" s="113"/>
      <c r="I614" s="204"/>
      <c r="K614" s="123"/>
      <c r="L614" s="123"/>
      <c r="M614" s="123"/>
      <c r="P614" s="123"/>
    </row>
    <row r="615" spans="6:16" x14ac:dyDescent="0.25">
      <c r="F615" s="123"/>
      <c r="G615" s="203"/>
      <c r="H615" s="113"/>
      <c r="I615" s="204"/>
      <c r="K615" s="123"/>
      <c r="L615" s="123"/>
      <c r="M615" s="123"/>
      <c r="P615" s="123"/>
    </row>
    <row r="616" spans="6:16" x14ac:dyDescent="0.25">
      <c r="F616" s="123"/>
      <c r="G616" s="203"/>
      <c r="H616" s="113"/>
      <c r="I616" s="204"/>
      <c r="K616" s="123"/>
      <c r="L616" s="123"/>
      <c r="M616" s="123"/>
      <c r="P616" s="123"/>
    </row>
    <row r="617" spans="6:16" x14ac:dyDescent="0.25">
      <c r="F617" s="123"/>
      <c r="G617" s="203"/>
      <c r="H617" s="113"/>
      <c r="I617" s="204"/>
      <c r="K617" s="123"/>
      <c r="L617" s="123"/>
      <c r="M617" s="123"/>
      <c r="P617" s="123"/>
    </row>
    <row r="618" spans="6:16" x14ac:dyDescent="0.25">
      <c r="F618" s="123"/>
      <c r="G618" s="203"/>
      <c r="H618" s="113"/>
      <c r="I618" s="204"/>
      <c r="K618" s="123"/>
      <c r="L618" s="123"/>
      <c r="M618" s="123"/>
      <c r="P618" s="123"/>
    </row>
    <row r="619" spans="6:16" x14ac:dyDescent="0.25">
      <c r="F619" s="123"/>
      <c r="G619" s="203"/>
      <c r="H619" s="113"/>
      <c r="I619" s="204"/>
      <c r="K619" s="123"/>
      <c r="L619" s="123"/>
      <c r="M619" s="123"/>
      <c r="P619" s="123"/>
    </row>
    <row r="620" spans="6:16" x14ac:dyDescent="0.25">
      <c r="F620" s="123"/>
      <c r="G620" s="203"/>
      <c r="H620" s="113"/>
      <c r="I620" s="204"/>
      <c r="K620" s="123"/>
      <c r="L620" s="123"/>
      <c r="M620" s="123"/>
      <c r="P620" s="123"/>
    </row>
    <row r="621" spans="6:16" x14ac:dyDescent="0.25">
      <c r="F621" s="123"/>
      <c r="G621" s="203"/>
      <c r="H621" s="113"/>
      <c r="I621" s="204"/>
      <c r="K621" s="123"/>
      <c r="L621" s="123"/>
      <c r="M621" s="123"/>
      <c r="P621" s="123"/>
    </row>
    <row r="622" spans="6:16" x14ac:dyDescent="0.25">
      <c r="F622" s="123"/>
      <c r="G622" s="203"/>
      <c r="H622" s="113"/>
      <c r="I622" s="204"/>
      <c r="K622" s="123"/>
      <c r="L622" s="123"/>
      <c r="M622" s="123"/>
      <c r="P622" s="123"/>
    </row>
    <row r="623" spans="6:16" x14ac:dyDescent="0.25">
      <c r="F623" s="123"/>
      <c r="G623" s="203"/>
      <c r="H623" s="113"/>
      <c r="I623" s="204"/>
      <c r="K623" s="123"/>
      <c r="L623" s="123"/>
      <c r="M623" s="123"/>
      <c r="P623" s="123"/>
    </row>
    <row r="624" spans="6:16" x14ac:dyDescent="0.25">
      <c r="F624" s="123"/>
      <c r="G624" s="203"/>
      <c r="H624" s="113"/>
      <c r="I624" s="204"/>
      <c r="K624" s="123"/>
      <c r="L624" s="123"/>
      <c r="M624" s="123"/>
      <c r="P624" s="123"/>
    </row>
    <row r="625" spans="6:16" x14ac:dyDescent="0.25">
      <c r="F625" s="123"/>
      <c r="G625" s="203"/>
      <c r="H625" s="113"/>
      <c r="I625" s="204"/>
      <c r="K625" s="123"/>
      <c r="L625" s="123"/>
      <c r="M625" s="123"/>
      <c r="P625" s="123"/>
    </row>
    <row r="626" spans="6:16" x14ac:dyDescent="0.25">
      <c r="F626" s="123"/>
      <c r="G626" s="203"/>
      <c r="H626" s="113"/>
      <c r="I626" s="204"/>
      <c r="K626" s="123"/>
      <c r="L626" s="123"/>
      <c r="M626" s="123"/>
      <c r="P626" s="123"/>
    </row>
    <row r="627" spans="6:16" x14ac:dyDescent="0.25">
      <c r="F627" s="123"/>
      <c r="G627" s="203"/>
      <c r="H627" s="113"/>
      <c r="I627" s="204"/>
      <c r="K627" s="123"/>
      <c r="L627" s="123"/>
      <c r="M627" s="123"/>
      <c r="P627" s="123"/>
    </row>
    <row r="628" spans="6:16" x14ac:dyDescent="0.25">
      <c r="F628" s="123"/>
      <c r="G628" s="203"/>
      <c r="H628" s="113"/>
      <c r="I628" s="204"/>
      <c r="K628" s="123"/>
      <c r="L628" s="123"/>
      <c r="M628" s="123"/>
      <c r="P628" s="123"/>
    </row>
    <row r="629" spans="6:16" x14ac:dyDescent="0.25">
      <c r="F629" s="123"/>
      <c r="G629" s="203"/>
      <c r="H629" s="113"/>
      <c r="I629" s="204"/>
      <c r="K629" s="123"/>
      <c r="L629" s="123"/>
      <c r="M629" s="123"/>
      <c r="P629" s="123"/>
    </row>
    <row r="630" spans="6:16" x14ac:dyDescent="0.25">
      <c r="F630" s="123"/>
      <c r="G630" s="203"/>
      <c r="H630" s="113"/>
      <c r="I630" s="204"/>
      <c r="K630" s="123"/>
      <c r="L630" s="123"/>
      <c r="M630" s="123"/>
      <c r="P630" s="123"/>
    </row>
    <row r="631" spans="6:16" x14ac:dyDescent="0.25">
      <c r="F631" s="123"/>
      <c r="G631" s="203"/>
      <c r="H631" s="113"/>
      <c r="I631" s="204"/>
      <c r="K631" s="123"/>
      <c r="L631" s="123"/>
      <c r="M631" s="123"/>
      <c r="P631" s="123"/>
    </row>
    <row r="632" spans="6:16" x14ac:dyDescent="0.25">
      <c r="F632" s="123"/>
      <c r="G632" s="203"/>
      <c r="H632" s="113"/>
      <c r="I632" s="204"/>
      <c r="K632" s="123"/>
      <c r="L632" s="123"/>
      <c r="M632" s="123"/>
      <c r="P632" s="123"/>
    </row>
    <row r="633" spans="6:16" x14ac:dyDescent="0.25">
      <c r="F633" s="123"/>
      <c r="G633" s="203"/>
      <c r="H633" s="113"/>
      <c r="I633" s="204"/>
      <c r="K633" s="123"/>
      <c r="L633" s="123"/>
      <c r="M633" s="123"/>
      <c r="P633" s="123"/>
    </row>
    <row r="634" spans="6:16" x14ac:dyDescent="0.25">
      <c r="F634" s="123"/>
      <c r="G634" s="203"/>
      <c r="H634" s="113"/>
      <c r="I634" s="204"/>
      <c r="K634" s="123"/>
      <c r="L634" s="123"/>
      <c r="M634" s="123"/>
      <c r="P634" s="123"/>
    </row>
    <row r="635" spans="6:16" x14ac:dyDescent="0.25">
      <c r="F635" s="123"/>
      <c r="G635" s="203"/>
      <c r="H635" s="113"/>
      <c r="I635" s="204"/>
      <c r="K635" s="123"/>
      <c r="L635" s="123"/>
      <c r="M635" s="123"/>
      <c r="P635" s="123"/>
    </row>
    <row r="636" spans="6:16" x14ac:dyDescent="0.25">
      <c r="F636" s="123"/>
      <c r="G636" s="203"/>
      <c r="H636" s="113"/>
      <c r="I636" s="204"/>
      <c r="K636" s="123"/>
      <c r="L636" s="123"/>
      <c r="M636" s="123"/>
      <c r="P636" s="123"/>
    </row>
    <row r="637" spans="6:16" x14ac:dyDescent="0.25">
      <c r="F637" s="123"/>
      <c r="G637" s="203"/>
      <c r="H637" s="113"/>
      <c r="I637" s="204"/>
      <c r="K637" s="123"/>
      <c r="L637" s="123"/>
      <c r="M637" s="123"/>
      <c r="P637" s="123"/>
    </row>
    <row r="638" spans="6:16" x14ac:dyDescent="0.25">
      <c r="F638" s="123"/>
      <c r="G638" s="203"/>
      <c r="H638" s="113"/>
      <c r="I638" s="204"/>
      <c r="K638" s="123"/>
      <c r="L638" s="123"/>
      <c r="M638" s="123"/>
      <c r="P638" s="123"/>
    </row>
    <row r="639" spans="6:16" x14ac:dyDescent="0.25">
      <c r="F639" s="123"/>
      <c r="G639" s="203"/>
      <c r="H639" s="113"/>
      <c r="I639" s="204"/>
      <c r="K639" s="123"/>
      <c r="L639" s="123"/>
      <c r="M639" s="123"/>
      <c r="P639" s="123"/>
    </row>
    <row r="640" spans="6:16" x14ac:dyDescent="0.25">
      <c r="F640" s="123"/>
      <c r="G640" s="203"/>
      <c r="H640" s="113"/>
      <c r="I640" s="204"/>
      <c r="K640" s="123"/>
      <c r="L640" s="123"/>
      <c r="M640" s="123"/>
      <c r="P640" s="123"/>
    </row>
    <row r="641" spans="6:16" x14ac:dyDescent="0.25">
      <c r="F641" s="123"/>
      <c r="G641" s="203"/>
      <c r="H641" s="113"/>
      <c r="I641" s="204"/>
      <c r="K641" s="123"/>
      <c r="L641" s="123"/>
      <c r="M641" s="123"/>
      <c r="P641" s="123"/>
    </row>
    <row r="642" spans="6:16" x14ac:dyDescent="0.25">
      <c r="F642" s="123"/>
      <c r="G642" s="203"/>
      <c r="H642" s="113"/>
      <c r="I642" s="204"/>
      <c r="K642" s="123"/>
      <c r="L642" s="123"/>
      <c r="M642" s="123"/>
      <c r="P642" s="123"/>
    </row>
    <row r="643" spans="6:16" x14ac:dyDescent="0.25">
      <c r="F643" s="123"/>
      <c r="G643" s="203"/>
      <c r="H643" s="113"/>
      <c r="I643" s="204"/>
      <c r="K643" s="123"/>
      <c r="L643" s="123"/>
      <c r="M643" s="123"/>
      <c r="P643" s="123"/>
    </row>
    <row r="644" spans="6:16" x14ac:dyDescent="0.25">
      <c r="F644" s="123"/>
      <c r="G644" s="203"/>
      <c r="H644" s="113"/>
      <c r="I644" s="204"/>
      <c r="K644" s="123"/>
      <c r="L644" s="123"/>
      <c r="M644" s="123"/>
      <c r="P644" s="123"/>
    </row>
    <row r="645" spans="6:16" x14ac:dyDescent="0.25">
      <c r="F645" s="123"/>
      <c r="G645" s="203"/>
      <c r="H645" s="113"/>
      <c r="I645" s="204"/>
      <c r="K645" s="123"/>
      <c r="L645" s="123"/>
      <c r="M645" s="123"/>
      <c r="P645" s="123"/>
    </row>
    <row r="646" spans="6:16" x14ac:dyDescent="0.25">
      <c r="F646" s="123"/>
      <c r="G646" s="203"/>
      <c r="H646" s="113"/>
      <c r="I646" s="204"/>
      <c r="K646" s="123"/>
      <c r="L646" s="123"/>
      <c r="M646" s="123"/>
      <c r="P646" s="123"/>
    </row>
    <row r="647" spans="6:16" x14ac:dyDescent="0.25">
      <c r="F647" s="123"/>
      <c r="G647" s="203"/>
      <c r="H647" s="113"/>
      <c r="I647" s="204"/>
      <c r="K647" s="123"/>
      <c r="L647" s="123"/>
      <c r="M647" s="123"/>
      <c r="P647" s="123"/>
    </row>
    <row r="648" spans="6:16" x14ac:dyDescent="0.25">
      <c r="F648" s="123"/>
      <c r="G648" s="203"/>
      <c r="H648" s="113"/>
      <c r="I648" s="204"/>
      <c r="K648" s="123"/>
      <c r="L648" s="123"/>
      <c r="M648" s="123"/>
      <c r="P648" s="123"/>
    </row>
    <row r="649" spans="6:16" x14ac:dyDescent="0.25">
      <c r="F649" s="123"/>
      <c r="G649" s="203"/>
      <c r="H649" s="113"/>
      <c r="I649" s="204"/>
      <c r="K649" s="123"/>
      <c r="L649" s="123"/>
      <c r="M649" s="123"/>
      <c r="P649" s="123"/>
    </row>
    <row r="650" spans="6:16" x14ac:dyDescent="0.25">
      <c r="F650" s="123"/>
      <c r="G650" s="203"/>
      <c r="H650" s="113"/>
      <c r="I650" s="204"/>
      <c r="K650" s="123"/>
      <c r="L650" s="123"/>
      <c r="M650" s="123"/>
      <c r="P650" s="123"/>
    </row>
    <row r="651" spans="6:16" x14ac:dyDescent="0.25">
      <c r="F651" s="123"/>
      <c r="G651" s="203"/>
      <c r="H651" s="113"/>
      <c r="I651" s="204"/>
      <c r="K651" s="123"/>
      <c r="L651" s="123"/>
      <c r="M651" s="123"/>
      <c r="P651" s="123"/>
    </row>
    <row r="652" spans="6:16" x14ac:dyDescent="0.25">
      <c r="F652" s="123"/>
      <c r="G652" s="203"/>
      <c r="H652" s="113"/>
      <c r="I652" s="204"/>
      <c r="K652" s="123"/>
      <c r="L652" s="123"/>
      <c r="M652" s="123"/>
      <c r="P652" s="123"/>
    </row>
    <row r="653" spans="6:16" x14ac:dyDescent="0.25">
      <c r="F653" s="123"/>
      <c r="G653" s="203"/>
      <c r="H653" s="113"/>
      <c r="I653" s="204"/>
      <c r="K653" s="123"/>
      <c r="L653" s="123"/>
      <c r="M653" s="123"/>
      <c r="P653" s="123"/>
    </row>
    <row r="654" spans="6:16" x14ac:dyDescent="0.25">
      <c r="F654" s="123"/>
      <c r="G654" s="203"/>
      <c r="H654" s="113"/>
      <c r="I654" s="204"/>
      <c r="K654" s="123"/>
      <c r="L654" s="123"/>
      <c r="M654" s="123"/>
      <c r="P654" s="123"/>
    </row>
    <row r="655" spans="6:16" x14ac:dyDescent="0.25">
      <c r="F655" s="123"/>
      <c r="G655" s="203"/>
      <c r="H655" s="113"/>
      <c r="I655" s="204"/>
      <c r="K655" s="123"/>
      <c r="L655" s="123"/>
      <c r="M655" s="123"/>
      <c r="P655" s="123"/>
    </row>
    <row r="656" spans="6:16" x14ac:dyDescent="0.25">
      <c r="F656" s="123"/>
      <c r="G656" s="203"/>
      <c r="H656" s="113"/>
      <c r="I656" s="204"/>
      <c r="K656" s="123"/>
      <c r="L656" s="123"/>
      <c r="M656" s="123"/>
      <c r="P656" s="123"/>
    </row>
    <row r="657" spans="6:16" x14ac:dyDescent="0.25">
      <c r="F657" s="123"/>
      <c r="G657" s="203"/>
      <c r="H657" s="113"/>
      <c r="I657" s="204"/>
      <c r="K657" s="123"/>
      <c r="L657" s="123"/>
      <c r="M657" s="123"/>
      <c r="P657" s="123"/>
    </row>
    <row r="658" spans="6:16" x14ac:dyDescent="0.25">
      <c r="F658" s="123"/>
      <c r="G658" s="203"/>
      <c r="H658" s="113"/>
      <c r="I658" s="204"/>
      <c r="K658" s="123"/>
      <c r="L658" s="123"/>
      <c r="M658" s="123"/>
      <c r="P658" s="123"/>
    </row>
    <row r="659" spans="6:16" x14ac:dyDescent="0.25">
      <c r="F659" s="123"/>
      <c r="G659" s="203"/>
      <c r="H659" s="113"/>
      <c r="I659" s="204"/>
      <c r="K659" s="123"/>
      <c r="L659" s="123"/>
      <c r="M659" s="123"/>
      <c r="P659" s="123"/>
    </row>
    <row r="660" spans="6:16" x14ac:dyDescent="0.25">
      <c r="F660" s="123"/>
      <c r="G660" s="203"/>
      <c r="H660" s="113"/>
      <c r="I660" s="204"/>
      <c r="K660" s="123"/>
      <c r="L660" s="123"/>
      <c r="M660" s="123"/>
      <c r="P660" s="123"/>
    </row>
    <row r="661" spans="6:16" x14ac:dyDescent="0.25">
      <c r="F661" s="123"/>
      <c r="G661" s="203"/>
      <c r="H661" s="113"/>
      <c r="I661" s="204"/>
      <c r="K661" s="123"/>
      <c r="L661" s="123"/>
      <c r="M661" s="123"/>
      <c r="P661" s="123"/>
    </row>
    <row r="662" spans="6:16" x14ac:dyDescent="0.25">
      <c r="F662" s="123"/>
      <c r="G662" s="203"/>
      <c r="H662" s="113"/>
      <c r="I662" s="204"/>
      <c r="K662" s="123"/>
      <c r="L662" s="123"/>
      <c r="M662" s="123"/>
      <c r="P662" s="123"/>
    </row>
    <row r="663" spans="6:16" x14ac:dyDescent="0.25">
      <c r="F663" s="123"/>
      <c r="G663" s="203"/>
      <c r="H663" s="113"/>
      <c r="I663" s="204"/>
      <c r="K663" s="123"/>
      <c r="L663" s="123"/>
      <c r="M663" s="123"/>
      <c r="P663" s="123"/>
    </row>
    <row r="664" spans="6:16" x14ac:dyDescent="0.25">
      <c r="F664" s="123"/>
      <c r="G664" s="203"/>
      <c r="H664" s="113"/>
      <c r="I664" s="204"/>
      <c r="K664" s="123"/>
      <c r="L664" s="123"/>
      <c r="M664" s="123"/>
      <c r="P664" s="123"/>
    </row>
    <row r="665" spans="6:16" x14ac:dyDescent="0.25">
      <c r="F665" s="123"/>
      <c r="G665" s="203"/>
      <c r="H665" s="113"/>
      <c r="I665" s="204"/>
      <c r="K665" s="123"/>
      <c r="L665" s="123"/>
      <c r="M665" s="123"/>
      <c r="P665" s="123"/>
    </row>
    <row r="666" spans="6:16" x14ac:dyDescent="0.25">
      <c r="F666" s="123"/>
      <c r="G666" s="203"/>
      <c r="H666" s="113"/>
      <c r="I666" s="204"/>
      <c r="K666" s="123"/>
      <c r="L666" s="123"/>
      <c r="M666" s="123"/>
      <c r="P666" s="123"/>
    </row>
    <row r="667" spans="6:16" x14ac:dyDescent="0.25">
      <c r="F667" s="123"/>
      <c r="G667" s="203"/>
      <c r="H667" s="113"/>
      <c r="I667" s="204"/>
      <c r="K667" s="123"/>
      <c r="L667" s="123"/>
      <c r="M667" s="123"/>
      <c r="P667" s="123"/>
    </row>
    <row r="668" spans="6:16" x14ac:dyDescent="0.25">
      <c r="F668" s="123"/>
      <c r="G668" s="203"/>
      <c r="H668" s="113"/>
      <c r="I668" s="204"/>
      <c r="K668" s="123"/>
      <c r="L668" s="123"/>
      <c r="M668" s="123"/>
      <c r="P668" s="123"/>
    </row>
    <row r="669" spans="6:16" x14ac:dyDescent="0.25">
      <c r="F669" s="123"/>
      <c r="G669" s="203"/>
      <c r="H669" s="113"/>
      <c r="I669" s="204"/>
      <c r="K669" s="123"/>
      <c r="L669" s="123"/>
      <c r="M669" s="123"/>
      <c r="P669" s="123"/>
    </row>
    <row r="670" spans="6:16" x14ac:dyDescent="0.25">
      <c r="F670" s="123"/>
      <c r="G670" s="203"/>
      <c r="H670" s="113"/>
      <c r="I670" s="204"/>
      <c r="K670" s="123"/>
      <c r="L670" s="123"/>
      <c r="M670" s="123"/>
      <c r="P670" s="123"/>
    </row>
    <row r="671" spans="6:16" x14ac:dyDescent="0.25">
      <c r="F671" s="123"/>
      <c r="G671" s="203"/>
      <c r="H671" s="113"/>
      <c r="I671" s="204"/>
      <c r="K671" s="123"/>
      <c r="L671" s="123"/>
      <c r="M671" s="123"/>
      <c r="P671" s="123"/>
    </row>
    <row r="672" spans="6:16" x14ac:dyDescent="0.25">
      <c r="F672" s="123"/>
      <c r="G672" s="203"/>
      <c r="H672" s="113"/>
      <c r="I672" s="204"/>
      <c r="K672" s="123"/>
      <c r="L672" s="123"/>
      <c r="M672" s="123"/>
      <c r="P672" s="123"/>
    </row>
    <row r="673" spans="6:16" x14ac:dyDescent="0.25">
      <c r="F673" s="123"/>
      <c r="G673" s="203"/>
      <c r="H673" s="113"/>
      <c r="I673" s="204"/>
      <c r="K673" s="123"/>
      <c r="L673" s="123"/>
      <c r="M673" s="123"/>
      <c r="P673" s="123"/>
    </row>
    <row r="674" spans="6:16" x14ac:dyDescent="0.25">
      <c r="F674" s="123"/>
      <c r="G674" s="203"/>
      <c r="H674" s="113"/>
      <c r="I674" s="204"/>
      <c r="K674" s="123"/>
      <c r="L674" s="123"/>
      <c r="M674" s="123"/>
      <c r="P674" s="123"/>
    </row>
    <row r="675" spans="6:16" x14ac:dyDescent="0.25">
      <c r="F675" s="123"/>
      <c r="G675" s="203"/>
      <c r="H675" s="113"/>
      <c r="I675" s="204"/>
      <c r="K675" s="123"/>
      <c r="L675" s="123"/>
      <c r="M675" s="123"/>
      <c r="P675" s="123"/>
    </row>
    <row r="676" spans="6:16" x14ac:dyDescent="0.25">
      <c r="F676" s="123"/>
      <c r="G676" s="203"/>
      <c r="H676" s="113"/>
      <c r="I676" s="204"/>
      <c r="K676" s="123"/>
      <c r="L676" s="123"/>
      <c r="M676" s="123"/>
      <c r="P676" s="123"/>
    </row>
    <row r="677" spans="6:16" x14ac:dyDescent="0.25">
      <c r="F677" s="123"/>
      <c r="G677" s="203"/>
      <c r="H677" s="113"/>
      <c r="I677" s="204"/>
      <c r="K677" s="123"/>
      <c r="L677" s="123"/>
      <c r="M677" s="123"/>
      <c r="P677" s="123"/>
    </row>
    <row r="678" spans="6:16" x14ac:dyDescent="0.25">
      <c r="F678" s="123"/>
      <c r="G678" s="203"/>
      <c r="H678" s="113"/>
      <c r="I678" s="204"/>
      <c r="K678" s="123"/>
      <c r="L678" s="123"/>
      <c r="M678" s="123"/>
      <c r="P678" s="123"/>
    </row>
    <row r="679" spans="6:16" x14ac:dyDescent="0.25">
      <c r="F679" s="123"/>
      <c r="G679" s="203"/>
      <c r="H679" s="113"/>
      <c r="I679" s="204"/>
      <c r="K679" s="123"/>
      <c r="L679" s="123"/>
      <c r="M679" s="123"/>
      <c r="P679" s="123"/>
    </row>
    <row r="680" spans="6:16" x14ac:dyDescent="0.25">
      <c r="F680" s="123"/>
      <c r="G680" s="203"/>
      <c r="H680" s="113"/>
      <c r="I680" s="204"/>
      <c r="K680" s="123"/>
      <c r="L680" s="123"/>
      <c r="M680" s="123"/>
      <c r="P680" s="123"/>
    </row>
    <row r="681" spans="6:16" x14ac:dyDescent="0.25">
      <c r="F681" s="123"/>
      <c r="G681" s="203"/>
      <c r="H681" s="113"/>
      <c r="I681" s="204"/>
      <c r="K681" s="123"/>
      <c r="L681" s="123"/>
      <c r="M681" s="123"/>
      <c r="P681" s="123"/>
    </row>
    <row r="682" spans="6:16" x14ac:dyDescent="0.25">
      <c r="F682" s="123"/>
      <c r="G682" s="203"/>
      <c r="H682" s="113"/>
      <c r="I682" s="204"/>
      <c r="K682" s="123"/>
      <c r="L682" s="123"/>
      <c r="M682" s="123"/>
      <c r="P682" s="123"/>
    </row>
    <row r="683" spans="6:16" x14ac:dyDescent="0.25">
      <c r="F683" s="123"/>
      <c r="G683" s="203"/>
      <c r="H683" s="113"/>
      <c r="I683" s="204"/>
      <c r="K683" s="123"/>
      <c r="L683" s="123"/>
      <c r="M683" s="123"/>
      <c r="P683" s="123"/>
    </row>
    <row r="684" spans="6:16" x14ac:dyDescent="0.25">
      <c r="F684" s="123"/>
      <c r="G684" s="203"/>
      <c r="H684" s="113"/>
      <c r="I684" s="204"/>
      <c r="K684" s="123"/>
      <c r="L684" s="123"/>
      <c r="M684" s="123"/>
      <c r="P684" s="123"/>
    </row>
    <row r="685" spans="6:16" x14ac:dyDescent="0.25">
      <c r="F685" s="123"/>
      <c r="G685" s="203"/>
      <c r="H685" s="113"/>
      <c r="I685" s="204"/>
      <c r="K685" s="123"/>
      <c r="L685" s="123"/>
      <c r="M685" s="123"/>
      <c r="P685" s="123"/>
    </row>
    <row r="686" spans="6:16" x14ac:dyDescent="0.25">
      <c r="F686" s="123"/>
      <c r="G686" s="203"/>
      <c r="H686" s="113"/>
      <c r="I686" s="204"/>
      <c r="K686" s="123"/>
      <c r="L686" s="123"/>
      <c r="M686" s="123"/>
      <c r="P686" s="123"/>
    </row>
    <row r="687" spans="6:16" x14ac:dyDescent="0.25">
      <c r="F687" s="123"/>
      <c r="G687" s="203"/>
      <c r="H687" s="113"/>
      <c r="I687" s="204"/>
      <c r="K687" s="123"/>
      <c r="L687" s="123"/>
      <c r="M687" s="123"/>
      <c r="P687" s="123"/>
    </row>
    <row r="688" spans="6:16" x14ac:dyDescent="0.25">
      <c r="F688" s="123"/>
      <c r="G688" s="203"/>
      <c r="H688" s="113"/>
      <c r="I688" s="204"/>
      <c r="K688" s="123"/>
      <c r="L688" s="123"/>
      <c r="M688" s="123"/>
      <c r="P688" s="123"/>
    </row>
    <row r="689" spans="6:16" x14ac:dyDescent="0.25">
      <c r="F689" s="123"/>
      <c r="G689" s="203"/>
      <c r="H689" s="113"/>
      <c r="I689" s="204"/>
      <c r="K689" s="123"/>
      <c r="L689" s="123"/>
      <c r="M689" s="123"/>
      <c r="P689" s="123"/>
    </row>
    <row r="690" spans="6:16" x14ac:dyDescent="0.25">
      <c r="F690" s="123"/>
      <c r="G690" s="203"/>
      <c r="H690" s="113"/>
      <c r="I690" s="204"/>
      <c r="K690" s="123"/>
      <c r="L690" s="123"/>
      <c r="M690" s="123"/>
      <c r="P690" s="123"/>
    </row>
    <row r="691" spans="6:16" x14ac:dyDescent="0.25">
      <c r="F691" s="123"/>
      <c r="G691" s="203"/>
      <c r="H691" s="113"/>
      <c r="I691" s="204"/>
      <c r="K691" s="123"/>
      <c r="L691" s="123"/>
      <c r="M691" s="123"/>
      <c r="P691" s="123"/>
    </row>
    <row r="692" spans="6:16" x14ac:dyDescent="0.25">
      <c r="F692" s="123"/>
      <c r="G692" s="203"/>
      <c r="H692" s="113"/>
      <c r="I692" s="204"/>
      <c r="K692" s="123"/>
      <c r="L692" s="123"/>
      <c r="M692" s="123"/>
      <c r="P692" s="123"/>
    </row>
    <row r="693" spans="6:16" x14ac:dyDescent="0.25">
      <c r="F693" s="123"/>
      <c r="G693" s="203"/>
      <c r="H693" s="113"/>
      <c r="I693" s="204"/>
      <c r="K693" s="123"/>
      <c r="L693" s="123"/>
      <c r="M693" s="123"/>
      <c r="P693" s="123"/>
    </row>
    <row r="694" spans="6:16" x14ac:dyDescent="0.25">
      <c r="F694" s="123"/>
      <c r="G694" s="203"/>
      <c r="H694" s="113"/>
      <c r="I694" s="204"/>
      <c r="K694" s="123"/>
      <c r="L694" s="123"/>
      <c r="M694" s="123"/>
      <c r="P694" s="123"/>
    </row>
    <row r="695" spans="6:16" x14ac:dyDescent="0.25">
      <c r="F695" s="123"/>
      <c r="G695" s="203"/>
      <c r="H695" s="113"/>
      <c r="I695" s="204"/>
      <c r="K695" s="123"/>
      <c r="L695" s="123"/>
      <c r="M695" s="123"/>
      <c r="P695" s="123"/>
    </row>
    <row r="696" spans="6:16" x14ac:dyDescent="0.25">
      <c r="F696" s="123"/>
      <c r="G696" s="203"/>
      <c r="H696" s="113"/>
      <c r="I696" s="204"/>
      <c r="K696" s="123"/>
      <c r="L696" s="123"/>
      <c r="M696" s="123"/>
      <c r="P696" s="123"/>
    </row>
    <row r="697" spans="6:16" x14ac:dyDescent="0.25">
      <c r="F697" s="123"/>
      <c r="G697" s="203"/>
      <c r="H697" s="113"/>
      <c r="I697" s="204"/>
      <c r="K697" s="123"/>
      <c r="L697" s="123"/>
      <c r="M697" s="123"/>
      <c r="P697" s="123"/>
    </row>
    <row r="698" spans="6:16" x14ac:dyDescent="0.25">
      <c r="F698" s="123"/>
      <c r="G698" s="203"/>
      <c r="H698" s="113"/>
      <c r="I698" s="204"/>
      <c r="K698" s="123"/>
      <c r="L698" s="123"/>
      <c r="M698" s="123"/>
      <c r="P698" s="123"/>
    </row>
    <row r="699" spans="6:16" x14ac:dyDescent="0.25">
      <c r="F699" s="123"/>
      <c r="G699" s="203"/>
      <c r="H699" s="113"/>
      <c r="I699" s="204"/>
      <c r="K699" s="123"/>
      <c r="L699" s="123"/>
      <c r="M699" s="123"/>
      <c r="P699" s="123"/>
    </row>
    <row r="700" spans="6:16" x14ac:dyDescent="0.25">
      <c r="F700" s="123"/>
      <c r="G700" s="203"/>
      <c r="H700" s="113"/>
      <c r="I700" s="204"/>
      <c r="K700" s="123"/>
      <c r="L700" s="123"/>
      <c r="M700" s="123"/>
      <c r="P700" s="123"/>
    </row>
    <row r="701" spans="6:16" x14ac:dyDescent="0.25">
      <c r="F701" s="123"/>
      <c r="G701" s="203"/>
      <c r="H701" s="113"/>
      <c r="I701" s="204"/>
      <c r="K701" s="123"/>
      <c r="L701" s="123"/>
      <c r="M701" s="123"/>
      <c r="P701" s="123"/>
    </row>
    <row r="702" spans="6:16" x14ac:dyDescent="0.25">
      <c r="F702" s="123"/>
      <c r="G702" s="203"/>
      <c r="H702" s="113"/>
      <c r="I702" s="204"/>
      <c r="K702" s="123"/>
      <c r="L702" s="123"/>
      <c r="M702" s="123"/>
      <c r="P702" s="123"/>
    </row>
    <row r="703" spans="6:16" x14ac:dyDescent="0.25">
      <c r="F703" s="123"/>
      <c r="G703" s="203"/>
      <c r="H703" s="113"/>
      <c r="I703" s="204"/>
      <c r="K703" s="123"/>
      <c r="L703" s="123"/>
      <c r="M703" s="123"/>
      <c r="P703" s="123"/>
    </row>
    <row r="704" spans="6:16" x14ac:dyDescent="0.25">
      <c r="F704" s="123"/>
      <c r="G704" s="203"/>
      <c r="H704" s="113"/>
      <c r="I704" s="204"/>
      <c r="K704" s="123"/>
      <c r="L704" s="123"/>
      <c r="M704" s="123"/>
      <c r="P704" s="123"/>
    </row>
    <row r="705" spans="6:16" x14ac:dyDescent="0.25">
      <c r="F705" s="123"/>
      <c r="G705" s="203"/>
      <c r="H705" s="113"/>
      <c r="I705" s="204"/>
      <c r="K705" s="123"/>
      <c r="L705" s="123"/>
      <c r="M705" s="123"/>
      <c r="P705" s="123"/>
    </row>
    <row r="706" spans="6:16" x14ac:dyDescent="0.25">
      <c r="F706" s="123"/>
      <c r="G706" s="203"/>
      <c r="H706" s="113"/>
      <c r="I706" s="204"/>
      <c r="K706" s="123"/>
      <c r="L706" s="123"/>
      <c r="M706" s="123"/>
      <c r="P706" s="123"/>
    </row>
    <row r="707" spans="6:16" x14ac:dyDescent="0.25">
      <c r="F707" s="123"/>
      <c r="G707" s="203"/>
      <c r="H707" s="113"/>
      <c r="I707" s="204"/>
      <c r="K707" s="123"/>
      <c r="L707" s="123"/>
      <c r="M707" s="123"/>
      <c r="P707" s="123"/>
    </row>
    <row r="708" spans="6:16" x14ac:dyDescent="0.25">
      <c r="F708" s="123"/>
      <c r="G708" s="203"/>
      <c r="H708" s="113"/>
      <c r="I708" s="204"/>
      <c r="K708" s="123"/>
      <c r="L708" s="123"/>
      <c r="M708" s="123"/>
      <c r="P708" s="123"/>
    </row>
    <row r="709" spans="6:16" x14ac:dyDescent="0.25">
      <c r="F709" s="123"/>
      <c r="G709" s="203"/>
      <c r="H709" s="113"/>
      <c r="I709" s="204"/>
      <c r="K709" s="123"/>
      <c r="L709" s="123"/>
      <c r="M709" s="123"/>
      <c r="P709" s="123"/>
    </row>
    <row r="710" spans="6:16" x14ac:dyDescent="0.25">
      <c r="F710" s="123"/>
      <c r="G710" s="203"/>
      <c r="H710" s="113"/>
      <c r="I710" s="204"/>
      <c r="K710" s="123"/>
      <c r="L710" s="123"/>
      <c r="M710" s="123"/>
      <c r="P710" s="123"/>
    </row>
    <row r="711" spans="6:16" x14ac:dyDescent="0.25">
      <c r="F711" s="123"/>
      <c r="G711" s="203"/>
      <c r="H711" s="113"/>
      <c r="I711" s="204"/>
      <c r="K711" s="123"/>
      <c r="L711" s="123"/>
      <c r="M711" s="123"/>
      <c r="P711" s="123"/>
    </row>
    <row r="712" spans="6:16" x14ac:dyDescent="0.25">
      <c r="F712" s="123"/>
      <c r="G712" s="203"/>
      <c r="H712" s="113"/>
      <c r="I712" s="204"/>
      <c r="K712" s="123"/>
      <c r="L712" s="123"/>
      <c r="M712" s="123"/>
      <c r="P712" s="123"/>
    </row>
    <row r="713" spans="6:16" x14ac:dyDescent="0.25">
      <c r="F713" s="123"/>
      <c r="G713" s="203"/>
      <c r="H713" s="113"/>
      <c r="I713" s="204"/>
      <c r="K713" s="123"/>
      <c r="L713" s="123"/>
      <c r="M713" s="123"/>
      <c r="P713" s="123"/>
    </row>
    <row r="714" spans="6:16" x14ac:dyDescent="0.25">
      <c r="F714" s="123"/>
      <c r="G714" s="203"/>
      <c r="H714" s="113"/>
      <c r="I714" s="204"/>
      <c r="K714" s="123"/>
      <c r="L714" s="123"/>
      <c r="M714" s="123"/>
      <c r="P714" s="123"/>
    </row>
    <row r="715" spans="6:16" x14ac:dyDescent="0.25">
      <c r="F715" s="123"/>
      <c r="G715" s="203"/>
      <c r="H715" s="113"/>
      <c r="I715" s="204"/>
      <c r="K715" s="123"/>
      <c r="L715" s="123"/>
      <c r="M715" s="123"/>
      <c r="P715" s="123"/>
    </row>
    <row r="716" spans="6:16" x14ac:dyDescent="0.25">
      <c r="F716" s="123"/>
      <c r="G716" s="203"/>
      <c r="H716" s="113"/>
      <c r="I716" s="204"/>
      <c r="K716" s="123"/>
      <c r="L716" s="123"/>
      <c r="M716" s="123"/>
      <c r="P716" s="123"/>
    </row>
    <row r="717" spans="6:16" x14ac:dyDescent="0.25">
      <c r="F717" s="123"/>
      <c r="G717" s="203"/>
      <c r="H717" s="113"/>
      <c r="I717" s="204"/>
      <c r="K717" s="123"/>
      <c r="L717" s="123"/>
      <c r="M717" s="123"/>
      <c r="P717" s="123"/>
    </row>
    <row r="718" spans="6:16" x14ac:dyDescent="0.25">
      <c r="F718" s="123"/>
      <c r="G718" s="203"/>
      <c r="H718" s="113"/>
      <c r="I718" s="204"/>
      <c r="K718" s="123"/>
      <c r="L718" s="123"/>
      <c r="M718" s="123"/>
      <c r="P718" s="123"/>
    </row>
    <row r="719" spans="6:16" x14ac:dyDescent="0.25">
      <c r="F719" s="123"/>
      <c r="G719" s="203"/>
      <c r="H719" s="113"/>
      <c r="I719" s="204"/>
      <c r="K719" s="123"/>
      <c r="L719" s="123"/>
      <c r="M719" s="123"/>
      <c r="P719" s="123"/>
    </row>
    <row r="720" spans="6:16" x14ac:dyDescent="0.25">
      <c r="F720" s="123"/>
      <c r="G720" s="203"/>
      <c r="H720" s="113"/>
      <c r="I720" s="204"/>
      <c r="K720" s="123"/>
      <c r="L720" s="123"/>
      <c r="M720" s="123"/>
      <c r="P720" s="123"/>
    </row>
    <row r="721" spans="6:16" x14ac:dyDescent="0.25">
      <c r="F721" s="123"/>
      <c r="G721" s="203"/>
      <c r="H721" s="113"/>
      <c r="I721" s="204"/>
      <c r="K721" s="123"/>
      <c r="L721" s="123"/>
      <c r="M721" s="123"/>
      <c r="P721" s="123"/>
    </row>
    <row r="722" spans="6:16" x14ac:dyDescent="0.25">
      <c r="F722" s="123"/>
      <c r="G722" s="203"/>
      <c r="H722" s="113"/>
      <c r="I722" s="204"/>
      <c r="K722" s="123"/>
      <c r="L722" s="123"/>
      <c r="M722" s="123"/>
      <c r="P722" s="123"/>
    </row>
    <row r="723" spans="6:16" x14ac:dyDescent="0.25">
      <c r="F723" s="123"/>
      <c r="G723" s="203"/>
      <c r="H723" s="113"/>
      <c r="I723" s="204"/>
      <c r="K723" s="123"/>
      <c r="L723" s="123"/>
      <c r="M723" s="123"/>
      <c r="P723" s="123"/>
    </row>
    <row r="724" spans="6:16" x14ac:dyDescent="0.25">
      <c r="F724" s="123"/>
      <c r="G724" s="203"/>
      <c r="H724" s="113"/>
      <c r="I724" s="204"/>
      <c r="K724" s="123"/>
      <c r="L724" s="123"/>
      <c r="M724" s="123"/>
      <c r="P724" s="123"/>
    </row>
    <row r="725" spans="6:16" x14ac:dyDescent="0.25">
      <c r="F725" s="123"/>
      <c r="G725" s="203"/>
      <c r="H725" s="113"/>
      <c r="I725" s="204"/>
      <c r="K725" s="123"/>
      <c r="L725" s="123"/>
      <c r="M725" s="123"/>
      <c r="P725" s="123"/>
    </row>
    <row r="726" spans="6:16" x14ac:dyDescent="0.25">
      <c r="F726" s="123"/>
      <c r="G726" s="203"/>
      <c r="H726" s="113"/>
      <c r="I726" s="204"/>
      <c r="K726" s="123"/>
      <c r="L726" s="123"/>
      <c r="M726" s="123"/>
      <c r="P726" s="123"/>
    </row>
    <row r="727" spans="6:16" x14ac:dyDescent="0.25">
      <c r="F727" s="123"/>
      <c r="G727" s="203"/>
      <c r="H727" s="113"/>
      <c r="I727" s="204"/>
      <c r="K727" s="123"/>
      <c r="L727" s="123"/>
      <c r="M727" s="123"/>
      <c r="P727" s="123"/>
    </row>
    <row r="728" spans="6:16" x14ac:dyDescent="0.25">
      <c r="F728" s="123"/>
      <c r="G728" s="203"/>
      <c r="H728" s="113"/>
      <c r="I728" s="204"/>
      <c r="K728" s="123"/>
      <c r="L728" s="123"/>
      <c r="M728" s="123"/>
      <c r="P728" s="123"/>
    </row>
    <row r="729" spans="6:16" x14ac:dyDescent="0.25">
      <c r="F729" s="123"/>
      <c r="G729" s="203"/>
      <c r="H729" s="113"/>
      <c r="I729" s="204"/>
      <c r="K729" s="123"/>
      <c r="L729" s="123"/>
      <c r="M729" s="123"/>
      <c r="P729" s="123"/>
    </row>
    <row r="730" spans="6:16" x14ac:dyDescent="0.25">
      <c r="F730" s="123"/>
      <c r="G730" s="203"/>
      <c r="H730" s="113"/>
      <c r="I730" s="204"/>
      <c r="K730" s="123"/>
      <c r="L730" s="123"/>
      <c r="M730" s="123"/>
      <c r="P730" s="123"/>
    </row>
    <row r="731" spans="6:16" x14ac:dyDescent="0.25">
      <c r="F731" s="123"/>
      <c r="G731" s="203"/>
      <c r="H731" s="113"/>
      <c r="I731" s="204"/>
      <c r="K731" s="123"/>
      <c r="L731" s="123"/>
      <c r="M731" s="123"/>
      <c r="P731" s="123"/>
    </row>
    <row r="732" spans="6:16" x14ac:dyDescent="0.25">
      <c r="F732" s="123"/>
      <c r="G732" s="203"/>
      <c r="H732" s="113"/>
      <c r="I732" s="204"/>
      <c r="K732" s="123"/>
      <c r="L732" s="123"/>
      <c r="M732" s="123"/>
      <c r="P732" s="123"/>
    </row>
    <row r="733" spans="6:16" x14ac:dyDescent="0.25">
      <c r="F733" s="123"/>
      <c r="G733" s="203"/>
      <c r="H733" s="113"/>
      <c r="I733" s="204"/>
      <c r="K733" s="123"/>
      <c r="L733" s="123"/>
      <c r="M733" s="123"/>
      <c r="P733" s="123"/>
    </row>
    <row r="734" spans="6:16" x14ac:dyDescent="0.25">
      <c r="F734" s="123"/>
      <c r="G734" s="203"/>
      <c r="H734" s="113"/>
      <c r="I734" s="204"/>
      <c r="K734" s="123"/>
      <c r="L734" s="123"/>
      <c r="M734" s="123"/>
      <c r="P734" s="123"/>
    </row>
    <row r="735" spans="6:16" x14ac:dyDescent="0.25">
      <c r="F735" s="123"/>
      <c r="G735" s="203"/>
      <c r="H735" s="113"/>
      <c r="I735" s="204"/>
      <c r="K735" s="123"/>
      <c r="L735" s="123"/>
      <c r="M735" s="123"/>
      <c r="P735" s="123"/>
    </row>
    <row r="736" spans="6:16" x14ac:dyDescent="0.25">
      <c r="F736" s="123"/>
      <c r="G736" s="203"/>
      <c r="H736" s="113"/>
      <c r="I736" s="204"/>
      <c r="K736" s="123"/>
      <c r="L736" s="123"/>
      <c r="M736" s="123"/>
      <c r="P736" s="123"/>
    </row>
    <row r="737" spans="6:16" x14ac:dyDescent="0.25">
      <c r="F737" s="123"/>
      <c r="G737" s="203"/>
      <c r="H737" s="113"/>
      <c r="I737" s="204"/>
      <c r="K737" s="123"/>
      <c r="L737" s="123"/>
      <c r="M737" s="123"/>
      <c r="P737" s="123"/>
    </row>
    <row r="738" spans="6:16" x14ac:dyDescent="0.25">
      <c r="F738" s="123"/>
      <c r="G738" s="203"/>
      <c r="H738" s="113"/>
      <c r="I738" s="204"/>
      <c r="K738" s="123"/>
      <c r="L738" s="123"/>
      <c r="M738" s="123"/>
      <c r="P738" s="123"/>
    </row>
    <row r="739" spans="6:16" x14ac:dyDescent="0.25">
      <c r="F739" s="123"/>
      <c r="G739" s="203"/>
      <c r="H739" s="113"/>
      <c r="I739" s="204"/>
      <c r="K739" s="123"/>
      <c r="L739" s="123"/>
      <c r="M739" s="123"/>
      <c r="P739" s="123"/>
    </row>
    <row r="740" spans="6:16" x14ac:dyDescent="0.25">
      <c r="F740" s="123"/>
      <c r="G740" s="203"/>
      <c r="H740" s="113"/>
      <c r="I740" s="204"/>
      <c r="K740" s="123"/>
      <c r="L740" s="123"/>
      <c r="M740" s="123"/>
      <c r="P740" s="123"/>
    </row>
    <row r="741" spans="6:16" x14ac:dyDescent="0.25">
      <c r="F741" s="123"/>
      <c r="G741" s="203"/>
      <c r="H741" s="113"/>
      <c r="I741" s="204"/>
      <c r="K741" s="123"/>
      <c r="L741" s="123"/>
      <c r="M741" s="123"/>
      <c r="P741" s="123"/>
    </row>
    <row r="742" spans="6:16" x14ac:dyDescent="0.25">
      <c r="F742" s="123"/>
      <c r="G742" s="203"/>
      <c r="H742" s="113"/>
      <c r="I742" s="204"/>
      <c r="K742" s="123"/>
      <c r="L742" s="123"/>
      <c r="M742" s="123"/>
      <c r="P742" s="123"/>
    </row>
    <row r="743" spans="6:16" x14ac:dyDescent="0.25">
      <c r="F743" s="123"/>
      <c r="G743" s="203"/>
      <c r="H743" s="113"/>
      <c r="I743" s="204"/>
      <c r="K743" s="123"/>
      <c r="L743" s="123"/>
      <c r="M743" s="123"/>
      <c r="P743" s="123"/>
    </row>
    <row r="744" spans="6:16" x14ac:dyDescent="0.25">
      <c r="F744" s="123"/>
      <c r="G744" s="203"/>
      <c r="H744" s="113"/>
      <c r="I744" s="204"/>
      <c r="K744" s="123"/>
      <c r="L744" s="123"/>
      <c r="M744" s="123"/>
      <c r="P744" s="123"/>
    </row>
    <row r="745" spans="6:16" x14ac:dyDescent="0.25">
      <c r="F745" s="123"/>
      <c r="G745" s="203"/>
      <c r="H745" s="113"/>
      <c r="I745" s="204"/>
      <c r="K745" s="123"/>
      <c r="L745" s="123"/>
      <c r="M745" s="123"/>
      <c r="P745" s="123"/>
    </row>
    <row r="746" spans="6:16" x14ac:dyDescent="0.25">
      <c r="F746" s="123"/>
      <c r="G746" s="203"/>
      <c r="H746" s="113"/>
      <c r="I746" s="204"/>
      <c r="K746" s="123"/>
      <c r="L746" s="123"/>
      <c r="M746" s="123"/>
      <c r="P746" s="123"/>
    </row>
    <row r="747" spans="6:16" x14ac:dyDescent="0.25">
      <c r="F747" s="123"/>
      <c r="G747" s="203"/>
      <c r="H747" s="113"/>
      <c r="I747" s="204"/>
      <c r="K747" s="123"/>
      <c r="L747" s="123"/>
      <c r="M747" s="123"/>
      <c r="P747" s="123"/>
    </row>
    <row r="748" spans="6:16" x14ac:dyDescent="0.25">
      <c r="F748" s="123"/>
      <c r="G748" s="203"/>
      <c r="H748" s="113"/>
      <c r="I748" s="204"/>
      <c r="K748" s="123"/>
      <c r="L748" s="123"/>
      <c r="M748" s="123"/>
      <c r="P748" s="123"/>
    </row>
    <row r="749" spans="6:16" x14ac:dyDescent="0.25">
      <c r="F749" s="123"/>
      <c r="G749" s="203"/>
      <c r="H749" s="113"/>
      <c r="I749" s="204"/>
      <c r="K749" s="123"/>
      <c r="L749" s="123"/>
      <c r="M749" s="123"/>
      <c r="P749" s="123"/>
    </row>
    <row r="750" spans="6:16" x14ac:dyDescent="0.25">
      <c r="F750" s="123"/>
      <c r="G750" s="203"/>
      <c r="H750" s="113"/>
      <c r="I750" s="204"/>
      <c r="K750" s="123"/>
      <c r="L750" s="123"/>
      <c r="M750" s="123"/>
      <c r="P750" s="123"/>
    </row>
    <row r="751" spans="6:16" x14ac:dyDescent="0.25">
      <c r="F751" s="123"/>
      <c r="G751" s="203"/>
      <c r="H751" s="113"/>
      <c r="I751" s="204"/>
      <c r="K751" s="123"/>
      <c r="L751" s="123"/>
      <c r="M751" s="123"/>
      <c r="P751" s="123"/>
    </row>
    <row r="752" spans="6:16" x14ac:dyDescent="0.25">
      <c r="F752" s="123"/>
      <c r="G752" s="203"/>
      <c r="H752" s="113"/>
      <c r="I752" s="204"/>
      <c r="K752" s="123"/>
      <c r="L752" s="123"/>
      <c r="M752" s="123"/>
      <c r="P752" s="123"/>
    </row>
    <row r="753" spans="6:16" x14ac:dyDescent="0.25">
      <c r="F753" s="123"/>
      <c r="G753" s="203"/>
      <c r="H753" s="113"/>
      <c r="I753" s="204"/>
      <c r="K753" s="123"/>
      <c r="L753" s="123"/>
      <c r="M753" s="123"/>
      <c r="P753" s="123"/>
    </row>
    <row r="754" spans="6:16" x14ac:dyDescent="0.25">
      <c r="F754" s="123"/>
      <c r="G754" s="203"/>
      <c r="H754" s="113"/>
      <c r="I754" s="204"/>
      <c r="K754" s="123"/>
      <c r="L754" s="123"/>
      <c r="M754" s="123"/>
      <c r="P754" s="123"/>
    </row>
    <row r="755" spans="6:16" x14ac:dyDescent="0.25">
      <c r="F755" s="123"/>
      <c r="G755" s="203"/>
      <c r="H755" s="113"/>
      <c r="I755" s="204"/>
      <c r="K755" s="123"/>
      <c r="L755" s="123"/>
      <c r="M755" s="123"/>
      <c r="P755" s="123"/>
    </row>
    <row r="756" spans="6:16" x14ac:dyDescent="0.25">
      <c r="F756" s="123"/>
      <c r="G756" s="203"/>
      <c r="H756" s="113"/>
      <c r="I756" s="204"/>
      <c r="K756" s="123"/>
      <c r="L756" s="123"/>
      <c r="M756" s="123"/>
      <c r="P756" s="123"/>
    </row>
    <row r="757" spans="6:16" x14ac:dyDescent="0.25">
      <c r="F757" s="123"/>
      <c r="G757" s="203"/>
      <c r="H757" s="113"/>
      <c r="I757" s="204"/>
      <c r="K757" s="123"/>
      <c r="L757" s="123"/>
      <c r="M757" s="123"/>
      <c r="P757" s="123"/>
    </row>
    <row r="758" spans="6:16" x14ac:dyDescent="0.25">
      <c r="F758" s="123"/>
      <c r="G758" s="203"/>
      <c r="H758" s="113"/>
      <c r="I758" s="204"/>
      <c r="K758" s="123"/>
      <c r="L758" s="123"/>
      <c r="M758" s="123"/>
      <c r="P758" s="123"/>
    </row>
    <row r="759" spans="6:16" x14ac:dyDescent="0.25">
      <c r="F759" s="123"/>
      <c r="G759" s="203"/>
      <c r="H759" s="113"/>
      <c r="I759" s="204"/>
      <c r="K759" s="123"/>
      <c r="L759" s="123"/>
      <c r="M759" s="123"/>
      <c r="P759" s="123"/>
    </row>
    <row r="760" spans="6:16" x14ac:dyDescent="0.25">
      <c r="F760" s="123"/>
      <c r="G760" s="203"/>
      <c r="H760" s="113"/>
      <c r="I760" s="204"/>
      <c r="K760" s="123"/>
      <c r="L760" s="123"/>
      <c r="M760" s="123"/>
      <c r="P760" s="123"/>
    </row>
    <row r="761" spans="6:16" x14ac:dyDescent="0.25">
      <c r="F761" s="123"/>
      <c r="G761" s="203"/>
      <c r="H761" s="113"/>
      <c r="I761" s="204"/>
      <c r="K761" s="123"/>
      <c r="L761" s="123"/>
      <c r="M761" s="123"/>
      <c r="P761" s="123"/>
    </row>
    <row r="762" spans="6:16" x14ac:dyDescent="0.25">
      <c r="F762" s="123"/>
      <c r="G762" s="203"/>
      <c r="H762" s="113"/>
      <c r="I762" s="204"/>
      <c r="K762" s="123"/>
      <c r="L762" s="123"/>
      <c r="M762" s="123"/>
      <c r="P762" s="123"/>
    </row>
    <row r="763" spans="6:16" x14ac:dyDescent="0.25">
      <c r="F763" s="123"/>
      <c r="G763" s="203"/>
      <c r="H763" s="113"/>
      <c r="I763" s="204"/>
      <c r="K763" s="123"/>
      <c r="L763" s="123"/>
      <c r="M763" s="123"/>
      <c r="P763" s="123"/>
    </row>
    <row r="764" spans="6:16" x14ac:dyDescent="0.25">
      <c r="F764" s="123"/>
      <c r="G764" s="203"/>
      <c r="H764" s="113"/>
      <c r="I764" s="204"/>
      <c r="K764" s="123"/>
      <c r="L764" s="123"/>
      <c r="M764" s="123"/>
      <c r="P764" s="123"/>
    </row>
    <row r="765" spans="6:16" x14ac:dyDescent="0.25">
      <c r="F765" s="123"/>
      <c r="G765" s="203"/>
      <c r="H765" s="113"/>
      <c r="I765" s="204"/>
      <c r="K765" s="123"/>
      <c r="L765" s="123"/>
      <c r="M765" s="123"/>
      <c r="P765" s="123"/>
    </row>
    <row r="766" spans="6:16" x14ac:dyDescent="0.25">
      <c r="F766" s="123"/>
      <c r="G766" s="203"/>
      <c r="H766" s="113"/>
      <c r="I766" s="204"/>
      <c r="K766" s="123"/>
      <c r="L766" s="123"/>
      <c r="M766" s="123"/>
      <c r="P766" s="123"/>
    </row>
    <row r="767" spans="6:16" x14ac:dyDescent="0.25">
      <c r="F767" s="123"/>
      <c r="G767" s="203"/>
      <c r="H767" s="113"/>
      <c r="I767" s="204"/>
      <c r="K767" s="123"/>
      <c r="L767" s="123"/>
      <c r="M767" s="123"/>
      <c r="P767" s="123"/>
    </row>
    <row r="768" spans="6:16" x14ac:dyDescent="0.25">
      <c r="F768" s="123"/>
      <c r="G768" s="203"/>
      <c r="H768" s="113"/>
      <c r="I768" s="204"/>
      <c r="K768" s="123"/>
      <c r="L768" s="123"/>
      <c r="M768" s="123"/>
      <c r="P768" s="123"/>
    </row>
    <row r="769" spans="6:16" x14ac:dyDescent="0.25">
      <c r="F769" s="123"/>
      <c r="G769" s="203"/>
      <c r="H769" s="113"/>
      <c r="I769" s="204"/>
      <c r="K769" s="123"/>
      <c r="L769" s="123"/>
      <c r="M769" s="123"/>
      <c r="P769" s="123"/>
    </row>
    <row r="770" spans="6:16" x14ac:dyDescent="0.25">
      <c r="F770" s="123"/>
      <c r="G770" s="203"/>
      <c r="H770" s="113"/>
      <c r="I770" s="204"/>
      <c r="K770" s="123"/>
      <c r="L770" s="123"/>
      <c r="M770" s="123"/>
      <c r="P770" s="123"/>
    </row>
    <row r="771" spans="6:16" x14ac:dyDescent="0.25">
      <c r="F771" s="123"/>
      <c r="G771" s="203"/>
      <c r="H771" s="113"/>
      <c r="I771" s="204"/>
      <c r="K771" s="123"/>
      <c r="L771" s="123"/>
      <c r="M771" s="123"/>
      <c r="P771" s="123"/>
    </row>
    <row r="772" spans="6:16" x14ac:dyDescent="0.25">
      <c r="F772" s="123"/>
      <c r="G772" s="203"/>
      <c r="H772" s="113"/>
      <c r="I772" s="204"/>
      <c r="K772" s="123"/>
      <c r="L772" s="123"/>
      <c r="M772" s="123"/>
      <c r="P772" s="123"/>
    </row>
    <row r="773" spans="6:16" x14ac:dyDescent="0.25">
      <c r="F773" s="123"/>
      <c r="G773" s="203"/>
      <c r="H773" s="113"/>
      <c r="I773" s="204"/>
      <c r="K773" s="123"/>
      <c r="L773" s="123"/>
      <c r="M773" s="123"/>
      <c r="P773" s="123"/>
    </row>
    <row r="774" spans="6:16" x14ac:dyDescent="0.25">
      <c r="F774" s="123"/>
      <c r="G774" s="203"/>
      <c r="H774" s="113"/>
      <c r="I774" s="204"/>
      <c r="K774" s="123"/>
      <c r="L774" s="123"/>
      <c r="M774" s="123"/>
      <c r="P774" s="123"/>
    </row>
    <row r="775" spans="6:16" x14ac:dyDescent="0.25">
      <c r="F775" s="123"/>
      <c r="G775" s="203"/>
      <c r="H775" s="113"/>
      <c r="I775" s="204"/>
      <c r="K775" s="123"/>
      <c r="L775" s="123"/>
      <c r="M775" s="123"/>
      <c r="P775" s="123"/>
    </row>
    <row r="776" spans="6:16" x14ac:dyDescent="0.25">
      <c r="F776" s="123"/>
      <c r="G776" s="203"/>
      <c r="H776" s="113"/>
      <c r="I776" s="204"/>
      <c r="K776" s="123"/>
      <c r="L776" s="123"/>
      <c r="M776" s="123"/>
      <c r="P776" s="123"/>
    </row>
    <row r="777" spans="6:16" x14ac:dyDescent="0.25">
      <c r="F777" s="123"/>
      <c r="G777" s="203"/>
      <c r="H777" s="113"/>
      <c r="I777" s="204"/>
      <c r="K777" s="123"/>
      <c r="L777" s="123"/>
      <c r="M777" s="123"/>
      <c r="P777" s="123"/>
    </row>
    <row r="778" spans="6:16" x14ac:dyDescent="0.25">
      <c r="F778" s="123"/>
      <c r="G778" s="203"/>
      <c r="H778" s="113"/>
      <c r="I778" s="204"/>
      <c r="K778" s="123"/>
      <c r="L778" s="123"/>
      <c r="M778" s="123"/>
      <c r="P778" s="123"/>
    </row>
    <row r="779" spans="6:16" x14ac:dyDescent="0.25">
      <c r="F779" s="123"/>
      <c r="G779" s="203"/>
      <c r="H779" s="113"/>
      <c r="I779" s="204"/>
      <c r="K779" s="123"/>
      <c r="L779" s="123"/>
      <c r="M779" s="123"/>
      <c r="P779" s="123"/>
    </row>
    <row r="780" spans="6:16" x14ac:dyDescent="0.25">
      <c r="F780" s="123"/>
      <c r="G780" s="203"/>
      <c r="H780" s="113"/>
      <c r="I780" s="204"/>
      <c r="K780" s="123"/>
      <c r="L780" s="123"/>
      <c r="M780" s="123"/>
      <c r="P780" s="123"/>
    </row>
    <row r="781" spans="6:16" x14ac:dyDescent="0.25">
      <c r="F781" s="123"/>
      <c r="G781" s="203"/>
      <c r="H781" s="113"/>
      <c r="I781" s="204"/>
      <c r="K781" s="123"/>
      <c r="L781" s="123"/>
      <c r="M781" s="123"/>
      <c r="P781" s="123"/>
    </row>
    <row r="782" spans="6:16" x14ac:dyDescent="0.25">
      <c r="F782" s="123"/>
      <c r="G782" s="203"/>
      <c r="H782" s="113"/>
      <c r="I782" s="204"/>
      <c r="K782" s="123"/>
      <c r="L782" s="123"/>
      <c r="M782" s="123"/>
      <c r="P782" s="123"/>
    </row>
    <row r="783" spans="6:16" x14ac:dyDescent="0.25">
      <c r="F783" s="123"/>
      <c r="G783" s="203"/>
      <c r="H783" s="113"/>
      <c r="I783" s="204"/>
      <c r="K783" s="123"/>
      <c r="L783" s="123"/>
      <c r="M783" s="123"/>
      <c r="P783" s="123"/>
    </row>
    <row r="784" spans="6:16" x14ac:dyDescent="0.25">
      <c r="F784" s="123"/>
      <c r="G784" s="203"/>
      <c r="H784" s="113"/>
      <c r="I784" s="204"/>
      <c r="K784" s="123"/>
      <c r="L784" s="123"/>
      <c r="M784" s="123"/>
      <c r="P784" s="123"/>
    </row>
    <row r="785" spans="6:16" x14ac:dyDescent="0.25">
      <c r="F785" s="123"/>
      <c r="G785" s="203"/>
      <c r="H785" s="113"/>
      <c r="I785" s="204"/>
      <c r="K785" s="123"/>
      <c r="L785" s="123"/>
      <c r="M785" s="123"/>
      <c r="P785" s="123"/>
    </row>
    <row r="786" spans="6:16" x14ac:dyDescent="0.25">
      <c r="F786" s="123"/>
      <c r="G786" s="203"/>
      <c r="H786" s="113"/>
      <c r="I786" s="204"/>
      <c r="K786" s="123"/>
      <c r="L786" s="123"/>
      <c r="M786" s="123"/>
      <c r="P786" s="123"/>
    </row>
    <row r="787" spans="6:16" x14ac:dyDescent="0.25">
      <c r="F787" s="123"/>
      <c r="G787" s="203"/>
      <c r="H787" s="113"/>
      <c r="I787" s="204"/>
      <c r="K787" s="123"/>
      <c r="L787" s="123"/>
      <c r="M787" s="123"/>
      <c r="P787" s="123"/>
    </row>
    <row r="788" spans="6:16" x14ac:dyDescent="0.25">
      <c r="F788" s="123"/>
      <c r="G788" s="203"/>
      <c r="H788" s="113"/>
      <c r="I788" s="204"/>
      <c r="K788" s="123"/>
      <c r="L788" s="123"/>
      <c r="M788" s="123"/>
      <c r="P788" s="123"/>
    </row>
    <row r="789" spans="6:16" x14ac:dyDescent="0.25">
      <c r="F789" s="123"/>
      <c r="G789" s="203"/>
      <c r="H789" s="113"/>
      <c r="I789" s="204"/>
      <c r="K789" s="123"/>
      <c r="L789" s="123"/>
      <c r="M789" s="123"/>
      <c r="P789" s="123"/>
    </row>
    <row r="790" spans="6:16" x14ac:dyDescent="0.25">
      <c r="F790" s="123"/>
      <c r="G790" s="203"/>
      <c r="H790" s="113"/>
      <c r="I790" s="204"/>
      <c r="K790" s="123"/>
      <c r="L790" s="123"/>
      <c r="M790" s="123"/>
      <c r="P790" s="123"/>
    </row>
    <row r="791" spans="6:16" x14ac:dyDescent="0.25">
      <c r="F791" s="123"/>
      <c r="G791" s="203"/>
      <c r="H791" s="113"/>
      <c r="I791" s="204"/>
      <c r="K791" s="123"/>
      <c r="L791" s="123"/>
      <c r="M791" s="123"/>
      <c r="P791" s="123"/>
    </row>
    <row r="792" spans="6:16" x14ac:dyDescent="0.25">
      <c r="F792" s="123"/>
      <c r="G792" s="203"/>
      <c r="H792" s="113"/>
      <c r="I792" s="204"/>
      <c r="K792" s="123"/>
      <c r="L792" s="123"/>
      <c r="M792" s="123"/>
      <c r="P792" s="123"/>
    </row>
    <row r="793" spans="6:16" x14ac:dyDescent="0.25">
      <c r="F793" s="123"/>
      <c r="G793" s="203"/>
      <c r="H793" s="113"/>
      <c r="I793" s="204"/>
      <c r="K793" s="123"/>
      <c r="L793" s="123"/>
      <c r="M793" s="123"/>
      <c r="P793" s="123"/>
    </row>
    <row r="794" spans="6:16" x14ac:dyDescent="0.25">
      <c r="F794" s="123"/>
      <c r="G794" s="203"/>
      <c r="H794" s="113"/>
      <c r="I794" s="204"/>
      <c r="K794" s="123"/>
      <c r="L794" s="123"/>
      <c r="M794" s="123"/>
      <c r="P794" s="123"/>
    </row>
    <row r="795" spans="6:16" x14ac:dyDescent="0.25">
      <c r="F795" s="123"/>
      <c r="G795" s="203"/>
      <c r="H795" s="113"/>
      <c r="I795" s="204"/>
      <c r="K795" s="123"/>
      <c r="L795" s="123"/>
      <c r="M795" s="123"/>
      <c r="P795" s="123"/>
    </row>
    <row r="796" spans="6:16" x14ac:dyDescent="0.25">
      <c r="F796" s="123"/>
      <c r="G796" s="203"/>
      <c r="H796" s="113"/>
      <c r="I796" s="204"/>
      <c r="K796" s="123"/>
      <c r="L796" s="123"/>
      <c r="M796" s="123"/>
      <c r="P796" s="123"/>
    </row>
    <row r="797" spans="6:16" x14ac:dyDescent="0.25">
      <c r="F797" s="123"/>
      <c r="G797" s="203"/>
      <c r="H797" s="113"/>
      <c r="I797" s="204"/>
      <c r="K797" s="123"/>
      <c r="L797" s="123"/>
      <c r="M797" s="123"/>
      <c r="P797" s="123"/>
    </row>
    <row r="798" spans="6:16" x14ac:dyDescent="0.25">
      <c r="F798" s="123"/>
      <c r="G798" s="203"/>
      <c r="H798" s="113"/>
      <c r="I798" s="204"/>
      <c r="K798" s="123"/>
      <c r="L798" s="123"/>
      <c r="M798" s="123"/>
      <c r="P798" s="123"/>
    </row>
    <row r="799" spans="6:16" x14ac:dyDescent="0.25">
      <c r="F799" s="123"/>
      <c r="G799" s="203"/>
      <c r="H799" s="113"/>
      <c r="I799" s="204"/>
      <c r="K799" s="123"/>
      <c r="L799" s="123"/>
      <c r="M799" s="123"/>
      <c r="P799" s="123"/>
    </row>
    <row r="800" spans="6:16" x14ac:dyDescent="0.25">
      <c r="F800" s="123"/>
      <c r="G800" s="203"/>
      <c r="H800" s="113"/>
      <c r="I800" s="204"/>
      <c r="K800" s="123"/>
      <c r="L800" s="123"/>
      <c r="M800" s="123"/>
      <c r="P800" s="123"/>
    </row>
    <row r="801" spans="6:16" x14ac:dyDescent="0.25">
      <c r="F801" s="123"/>
      <c r="G801" s="203"/>
      <c r="H801" s="113"/>
      <c r="I801" s="204"/>
      <c r="K801" s="123"/>
      <c r="L801" s="123"/>
      <c r="M801" s="123"/>
      <c r="P801" s="123"/>
    </row>
    <row r="802" spans="6:16" x14ac:dyDescent="0.25">
      <c r="F802" s="123"/>
      <c r="G802" s="203"/>
      <c r="H802" s="113"/>
      <c r="I802" s="204"/>
      <c r="K802" s="123"/>
      <c r="L802" s="123"/>
      <c r="M802" s="123"/>
      <c r="P802" s="123"/>
    </row>
    <row r="803" spans="6:16" x14ac:dyDescent="0.25">
      <c r="F803" s="123"/>
      <c r="G803" s="203"/>
      <c r="H803" s="113"/>
      <c r="I803" s="204"/>
      <c r="K803" s="123"/>
      <c r="L803" s="123"/>
      <c r="M803" s="123"/>
      <c r="P803" s="123"/>
    </row>
    <row r="804" spans="6:16" x14ac:dyDescent="0.25">
      <c r="F804" s="123"/>
      <c r="G804" s="203"/>
      <c r="H804" s="113"/>
      <c r="I804" s="204"/>
      <c r="K804" s="123"/>
      <c r="L804" s="123"/>
      <c r="M804" s="123"/>
      <c r="P804" s="123"/>
    </row>
    <row r="805" spans="6:16" x14ac:dyDescent="0.25">
      <c r="F805" s="123"/>
      <c r="G805" s="203"/>
      <c r="H805" s="113"/>
      <c r="I805" s="204"/>
      <c r="K805" s="123"/>
      <c r="L805" s="123"/>
      <c r="M805" s="123"/>
      <c r="P805" s="123"/>
    </row>
    <row r="806" spans="6:16" x14ac:dyDescent="0.25">
      <c r="F806" s="123"/>
      <c r="G806" s="203"/>
      <c r="H806" s="113"/>
      <c r="I806" s="204"/>
      <c r="K806" s="123"/>
      <c r="L806" s="123"/>
      <c r="M806" s="123"/>
      <c r="P806" s="123"/>
    </row>
    <row r="807" spans="6:16" x14ac:dyDescent="0.25">
      <c r="F807" s="123"/>
      <c r="G807" s="203"/>
      <c r="H807" s="113"/>
      <c r="I807" s="204"/>
      <c r="K807" s="123"/>
      <c r="L807" s="123"/>
      <c r="M807" s="123"/>
      <c r="P807" s="123"/>
    </row>
    <row r="808" spans="6:16" x14ac:dyDescent="0.25">
      <c r="F808" s="123"/>
      <c r="G808" s="203"/>
      <c r="H808" s="113"/>
      <c r="I808" s="204"/>
      <c r="K808" s="123"/>
      <c r="L808" s="123"/>
      <c r="M808" s="123"/>
      <c r="P808" s="123"/>
    </row>
    <row r="809" spans="6:16" x14ac:dyDescent="0.25">
      <c r="F809" s="123"/>
      <c r="G809" s="203"/>
      <c r="H809" s="113"/>
      <c r="I809" s="204"/>
      <c r="K809" s="123"/>
      <c r="L809" s="123"/>
      <c r="M809" s="123"/>
      <c r="P809" s="123"/>
    </row>
    <row r="810" spans="6:16" x14ac:dyDescent="0.25">
      <c r="F810" s="123"/>
      <c r="G810" s="203"/>
      <c r="H810" s="113"/>
      <c r="I810" s="204"/>
      <c r="K810" s="123"/>
      <c r="L810" s="123"/>
      <c r="M810" s="123"/>
      <c r="P810" s="123"/>
    </row>
    <row r="811" spans="6:16" x14ac:dyDescent="0.25">
      <c r="F811" s="123"/>
      <c r="G811" s="203"/>
      <c r="H811" s="113"/>
      <c r="I811" s="204"/>
      <c r="K811" s="123"/>
      <c r="L811" s="123"/>
      <c r="M811" s="123"/>
      <c r="P811" s="123"/>
    </row>
    <row r="812" spans="6:16" x14ac:dyDescent="0.25">
      <c r="F812" s="123"/>
      <c r="G812" s="203"/>
      <c r="H812" s="113"/>
      <c r="I812" s="204"/>
      <c r="K812" s="123"/>
      <c r="L812" s="123"/>
      <c r="M812" s="123"/>
      <c r="P812" s="123"/>
    </row>
    <row r="813" spans="6:16" x14ac:dyDescent="0.25">
      <c r="F813" s="123"/>
      <c r="G813" s="203"/>
      <c r="H813" s="113"/>
      <c r="I813" s="204"/>
      <c r="K813" s="123"/>
      <c r="L813" s="123"/>
      <c r="M813" s="123"/>
      <c r="P813" s="123"/>
    </row>
    <row r="814" spans="6:16" x14ac:dyDescent="0.25">
      <c r="F814" s="123"/>
      <c r="G814" s="203"/>
      <c r="H814" s="113"/>
      <c r="I814" s="204"/>
      <c r="K814" s="123"/>
      <c r="L814" s="123"/>
      <c r="M814" s="123"/>
      <c r="P814" s="123"/>
    </row>
    <row r="815" spans="6:16" x14ac:dyDescent="0.25">
      <c r="F815" s="123"/>
      <c r="G815" s="203"/>
      <c r="H815" s="113"/>
      <c r="I815" s="204"/>
      <c r="K815" s="123"/>
      <c r="L815" s="123"/>
      <c r="M815" s="123"/>
      <c r="P815" s="123"/>
    </row>
    <row r="816" spans="6:16" x14ac:dyDescent="0.25">
      <c r="F816" s="123"/>
      <c r="G816" s="203"/>
      <c r="H816" s="113"/>
      <c r="I816" s="204"/>
      <c r="K816" s="123"/>
      <c r="L816" s="123"/>
      <c r="M816" s="123"/>
      <c r="P816" s="123"/>
    </row>
    <row r="817" spans="6:16" x14ac:dyDescent="0.25">
      <c r="F817" s="123"/>
      <c r="G817" s="203"/>
      <c r="H817" s="113"/>
      <c r="I817" s="204"/>
      <c r="K817" s="123"/>
      <c r="L817" s="123"/>
      <c r="M817" s="123"/>
      <c r="P817" s="123"/>
    </row>
    <row r="818" spans="6:16" x14ac:dyDescent="0.25">
      <c r="F818" s="123"/>
      <c r="G818" s="203"/>
      <c r="H818" s="113"/>
      <c r="I818" s="204"/>
      <c r="K818" s="123"/>
      <c r="L818" s="123"/>
      <c r="M818" s="123"/>
      <c r="P818" s="123"/>
    </row>
    <row r="819" spans="6:16" x14ac:dyDescent="0.25">
      <c r="F819" s="123"/>
      <c r="G819" s="203"/>
      <c r="H819" s="113"/>
      <c r="I819" s="204"/>
      <c r="K819" s="123"/>
      <c r="L819" s="123"/>
      <c r="M819" s="123"/>
      <c r="P819" s="123"/>
    </row>
    <row r="820" spans="6:16" x14ac:dyDescent="0.25">
      <c r="F820" s="123"/>
      <c r="G820" s="203"/>
      <c r="H820" s="113"/>
      <c r="I820" s="204"/>
      <c r="K820" s="123"/>
      <c r="L820" s="123"/>
      <c r="M820" s="123"/>
      <c r="P820" s="123"/>
    </row>
    <row r="821" spans="6:16" x14ac:dyDescent="0.25">
      <c r="F821" s="123"/>
      <c r="G821" s="203"/>
      <c r="H821" s="113"/>
      <c r="I821" s="204"/>
      <c r="K821" s="123"/>
      <c r="L821" s="123"/>
      <c r="M821" s="123"/>
      <c r="P821" s="123"/>
    </row>
    <row r="822" spans="6:16" x14ac:dyDescent="0.25">
      <c r="F822" s="123"/>
      <c r="G822" s="203"/>
      <c r="H822" s="113"/>
      <c r="I822" s="204"/>
      <c r="K822" s="123"/>
      <c r="L822" s="123"/>
      <c r="M822" s="123"/>
      <c r="P822" s="123"/>
    </row>
    <row r="823" spans="6:16" x14ac:dyDescent="0.25">
      <c r="F823" s="123"/>
      <c r="G823" s="203"/>
      <c r="H823" s="113"/>
      <c r="I823" s="204"/>
      <c r="K823" s="123"/>
      <c r="L823" s="123"/>
      <c r="M823" s="123"/>
      <c r="P823" s="123"/>
    </row>
    <row r="824" spans="6:16" x14ac:dyDescent="0.25">
      <c r="F824" s="123"/>
      <c r="G824" s="203"/>
      <c r="H824" s="113"/>
      <c r="I824" s="204"/>
      <c r="K824" s="123"/>
      <c r="L824" s="123"/>
      <c r="M824" s="123"/>
      <c r="P824" s="123"/>
    </row>
    <row r="825" spans="6:16" x14ac:dyDescent="0.25">
      <c r="F825" s="123"/>
      <c r="G825" s="203"/>
      <c r="H825" s="113"/>
      <c r="I825" s="204"/>
      <c r="K825" s="123"/>
      <c r="L825" s="123"/>
      <c r="M825" s="123"/>
      <c r="P825" s="123"/>
    </row>
    <row r="826" spans="6:16" x14ac:dyDescent="0.25">
      <c r="F826" s="123"/>
      <c r="G826" s="203"/>
      <c r="H826" s="113"/>
      <c r="I826" s="204"/>
      <c r="K826" s="123"/>
      <c r="L826" s="123"/>
      <c r="M826" s="123"/>
      <c r="P826" s="123"/>
    </row>
    <row r="827" spans="6:16" x14ac:dyDescent="0.25">
      <c r="F827" s="123"/>
      <c r="G827" s="203"/>
      <c r="H827" s="113"/>
      <c r="I827" s="204"/>
      <c r="K827" s="123"/>
      <c r="L827" s="123"/>
      <c r="M827" s="123"/>
      <c r="P827" s="123"/>
    </row>
    <row r="828" spans="6:16" x14ac:dyDescent="0.25">
      <c r="F828" s="123"/>
      <c r="G828" s="203"/>
      <c r="H828" s="113"/>
      <c r="I828" s="204"/>
      <c r="K828" s="123"/>
      <c r="L828" s="123"/>
      <c r="M828" s="123"/>
      <c r="P828" s="123"/>
    </row>
    <row r="829" spans="6:16" x14ac:dyDescent="0.25">
      <c r="F829" s="123"/>
      <c r="G829" s="203"/>
      <c r="H829" s="113"/>
      <c r="I829" s="204"/>
      <c r="K829" s="123"/>
      <c r="L829" s="123"/>
      <c r="M829" s="123"/>
      <c r="P829" s="123"/>
    </row>
    <row r="830" spans="6:16" x14ac:dyDescent="0.25">
      <c r="F830" s="123"/>
      <c r="G830" s="203"/>
      <c r="H830" s="113"/>
      <c r="I830" s="204"/>
      <c r="K830" s="123"/>
      <c r="L830" s="123"/>
      <c r="M830" s="123"/>
      <c r="P830" s="123"/>
    </row>
    <row r="831" spans="6:16" x14ac:dyDescent="0.25">
      <c r="F831" s="123"/>
      <c r="G831" s="203"/>
      <c r="H831" s="113"/>
      <c r="I831" s="204"/>
      <c r="K831" s="123"/>
      <c r="L831" s="123"/>
      <c r="M831" s="123"/>
      <c r="P831" s="123"/>
    </row>
    <row r="832" spans="6:16" x14ac:dyDescent="0.25">
      <c r="F832" s="123"/>
      <c r="G832" s="203"/>
      <c r="H832" s="113"/>
      <c r="I832" s="204"/>
      <c r="K832" s="123"/>
      <c r="L832" s="123"/>
      <c r="M832" s="123"/>
      <c r="P832" s="123"/>
    </row>
    <row r="833" spans="6:16" x14ac:dyDescent="0.25">
      <c r="F833" s="123"/>
      <c r="G833" s="203"/>
      <c r="H833" s="113"/>
      <c r="I833" s="204"/>
      <c r="K833" s="123"/>
      <c r="L833" s="123"/>
      <c r="M833" s="123"/>
      <c r="P833" s="123"/>
    </row>
    <row r="834" spans="6:16" x14ac:dyDescent="0.25">
      <c r="F834" s="123"/>
      <c r="G834" s="203"/>
      <c r="H834" s="113"/>
      <c r="I834" s="204"/>
      <c r="K834" s="123"/>
      <c r="L834" s="123"/>
      <c r="M834" s="123"/>
      <c r="P834" s="123"/>
    </row>
    <row r="835" spans="6:16" x14ac:dyDescent="0.25">
      <c r="F835" s="123"/>
      <c r="G835" s="203"/>
      <c r="H835" s="113"/>
      <c r="I835" s="204"/>
      <c r="K835" s="123"/>
      <c r="L835" s="123"/>
      <c r="M835" s="123"/>
      <c r="P835" s="123"/>
    </row>
    <row r="836" spans="6:16" x14ac:dyDescent="0.25">
      <c r="F836" s="123"/>
      <c r="G836" s="203"/>
      <c r="H836" s="113"/>
      <c r="I836" s="204"/>
      <c r="K836" s="123"/>
      <c r="L836" s="123"/>
      <c r="M836" s="123"/>
      <c r="P836" s="123"/>
    </row>
    <row r="837" spans="6:16" x14ac:dyDescent="0.25">
      <c r="F837" s="123"/>
      <c r="G837" s="203"/>
      <c r="H837" s="113"/>
      <c r="I837" s="204"/>
      <c r="K837" s="123"/>
      <c r="L837" s="123"/>
      <c r="M837" s="123"/>
      <c r="P837" s="123"/>
    </row>
    <row r="838" spans="6:16" x14ac:dyDescent="0.25">
      <c r="F838" s="123"/>
      <c r="G838" s="203"/>
      <c r="H838" s="113"/>
      <c r="I838" s="204"/>
      <c r="K838" s="123"/>
      <c r="L838" s="123"/>
      <c r="M838" s="123"/>
      <c r="P838" s="123"/>
    </row>
    <row r="839" spans="6:16" x14ac:dyDescent="0.25">
      <c r="F839" s="123"/>
      <c r="G839" s="203"/>
      <c r="H839" s="113"/>
      <c r="I839" s="204"/>
      <c r="K839" s="123"/>
      <c r="L839" s="123"/>
      <c r="M839" s="123"/>
      <c r="P839" s="123"/>
    </row>
    <row r="840" spans="6:16" x14ac:dyDescent="0.25">
      <c r="F840" s="123"/>
      <c r="G840" s="203"/>
      <c r="H840" s="113"/>
      <c r="I840" s="204"/>
      <c r="K840" s="123"/>
      <c r="L840" s="123"/>
      <c r="M840" s="123"/>
      <c r="P840" s="123"/>
    </row>
    <row r="841" spans="6:16" x14ac:dyDescent="0.25">
      <c r="F841" s="123"/>
      <c r="G841" s="203"/>
      <c r="H841" s="113"/>
      <c r="I841" s="204"/>
      <c r="K841" s="123"/>
      <c r="L841" s="123"/>
      <c r="M841" s="123"/>
      <c r="P841" s="123"/>
    </row>
    <row r="842" spans="6:16" x14ac:dyDescent="0.25">
      <c r="F842" s="123"/>
      <c r="G842" s="203"/>
      <c r="H842" s="113"/>
      <c r="I842" s="204"/>
      <c r="K842" s="123"/>
      <c r="L842" s="123"/>
      <c r="M842" s="123"/>
      <c r="P842" s="123"/>
    </row>
    <row r="843" spans="6:16" x14ac:dyDescent="0.25">
      <c r="F843" s="123"/>
      <c r="G843" s="203"/>
      <c r="H843" s="113"/>
      <c r="I843" s="204"/>
      <c r="K843" s="123"/>
      <c r="L843" s="123"/>
      <c r="M843" s="123"/>
      <c r="P843" s="123"/>
    </row>
    <row r="844" spans="6:16" x14ac:dyDescent="0.25">
      <c r="F844" s="123"/>
      <c r="G844" s="203"/>
      <c r="H844" s="113"/>
      <c r="I844" s="204"/>
      <c r="K844" s="123"/>
      <c r="L844" s="123"/>
      <c r="M844" s="123"/>
      <c r="P844" s="123"/>
    </row>
    <row r="845" spans="6:16" x14ac:dyDescent="0.25">
      <c r="F845" s="123"/>
      <c r="G845" s="203"/>
      <c r="H845" s="113"/>
      <c r="I845" s="204"/>
      <c r="K845" s="123"/>
      <c r="L845" s="123"/>
      <c r="M845" s="123"/>
      <c r="P845" s="123"/>
    </row>
    <row r="846" spans="6:16" x14ac:dyDescent="0.25">
      <c r="F846" s="123"/>
      <c r="G846" s="203"/>
      <c r="H846" s="113"/>
      <c r="I846" s="204"/>
      <c r="K846" s="123"/>
      <c r="L846" s="123"/>
      <c r="M846" s="123"/>
      <c r="P846" s="123"/>
    </row>
    <row r="847" spans="6:16" x14ac:dyDescent="0.25">
      <c r="F847" s="123"/>
      <c r="G847" s="203"/>
      <c r="H847" s="113"/>
      <c r="I847" s="204"/>
      <c r="K847" s="123"/>
      <c r="L847" s="123"/>
      <c r="M847" s="123"/>
      <c r="P847" s="123"/>
    </row>
    <row r="848" spans="6:16" x14ac:dyDescent="0.25">
      <c r="F848" s="123"/>
      <c r="G848" s="203"/>
      <c r="H848" s="113"/>
      <c r="I848" s="204"/>
      <c r="K848" s="123"/>
      <c r="L848" s="123"/>
      <c r="M848" s="123"/>
      <c r="P848" s="123"/>
    </row>
    <row r="849" spans="6:16" x14ac:dyDescent="0.25">
      <c r="F849" s="123"/>
      <c r="G849" s="203"/>
      <c r="H849" s="113"/>
      <c r="I849" s="204"/>
      <c r="K849" s="123"/>
      <c r="L849" s="123"/>
      <c r="M849" s="123"/>
      <c r="P849" s="123"/>
    </row>
    <row r="850" spans="6:16" x14ac:dyDescent="0.25">
      <c r="F850" s="123"/>
      <c r="G850" s="203"/>
      <c r="H850" s="113"/>
      <c r="I850" s="204"/>
      <c r="K850" s="123"/>
      <c r="L850" s="123"/>
      <c r="M850" s="123"/>
      <c r="P850" s="123"/>
    </row>
    <row r="851" spans="6:16" x14ac:dyDescent="0.25">
      <c r="F851" s="123"/>
      <c r="G851" s="203"/>
      <c r="H851" s="113"/>
      <c r="I851" s="204"/>
      <c r="K851" s="123"/>
      <c r="L851" s="123"/>
      <c r="M851" s="123"/>
      <c r="P851" s="123"/>
    </row>
    <row r="852" spans="6:16" x14ac:dyDescent="0.25">
      <c r="F852" s="123"/>
      <c r="G852" s="203"/>
      <c r="H852" s="113"/>
      <c r="I852" s="204"/>
      <c r="K852" s="123"/>
      <c r="L852" s="123"/>
      <c r="M852" s="123"/>
      <c r="P852" s="123"/>
    </row>
    <row r="853" spans="6:16" x14ac:dyDescent="0.25">
      <c r="F853" s="123"/>
      <c r="G853" s="203"/>
      <c r="H853" s="113"/>
      <c r="I853" s="204"/>
      <c r="K853" s="123"/>
      <c r="L853" s="123"/>
      <c r="M853" s="123"/>
      <c r="P853" s="123"/>
    </row>
    <row r="854" spans="6:16" x14ac:dyDescent="0.25">
      <c r="F854" s="123"/>
      <c r="G854" s="203"/>
      <c r="H854" s="113"/>
      <c r="I854" s="204"/>
      <c r="K854" s="123"/>
      <c r="L854" s="123"/>
      <c r="M854" s="123"/>
      <c r="P854" s="123"/>
    </row>
    <row r="855" spans="6:16" x14ac:dyDescent="0.25">
      <c r="F855" s="123"/>
      <c r="G855" s="203"/>
      <c r="H855" s="113"/>
      <c r="I855" s="204"/>
      <c r="K855" s="123"/>
      <c r="L855" s="123"/>
      <c r="M855" s="123"/>
      <c r="P855" s="123"/>
    </row>
    <row r="856" spans="6:16" x14ac:dyDescent="0.25">
      <c r="F856" s="123"/>
      <c r="G856" s="203"/>
      <c r="H856" s="113"/>
      <c r="I856" s="204"/>
      <c r="K856" s="123"/>
      <c r="L856" s="123"/>
      <c r="M856" s="123"/>
      <c r="P856" s="123"/>
    </row>
    <row r="857" spans="6:16" x14ac:dyDescent="0.25">
      <c r="F857" s="123"/>
      <c r="G857" s="203"/>
      <c r="H857" s="113"/>
      <c r="I857" s="204"/>
      <c r="K857" s="123"/>
      <c r="L857" s="123"/>
      <c r="M857" s="123"/>
      <c r="P857" s="123"/>
    </row>
    <row r="858" spans="6:16" x14ac:dyDescent="0.25">
      <c r="F858" s="123"/>
      <c r="G858" s="203"/>
      <c r="H858" s="113"/>
      <c r="I858" s="204"/>
      <c r="K858" s="123"/>
      <c r="L858" s="123"/>
      <c r="M858" s="123"/>
      <c r="P858" s="123"/>
    </row>
    <row r="859" spans="6:16" x14ac:dyDescent="0.25">
      <c r="F859" s="123"/>
      <c r="G859" s="203"/>
      <c r="H859" s="113"/>
      <c r="I859" s="204"/>
      <c r="K859" s="123"/>
      <c r="L859" s="123"/>
      <c r="M859" s="123"/>
      <c r="P859" s="123"/>
    </row>
    <row r="860" spans="6:16" x14ac:dyDescent="0.25">
      <c r="F860" s="123"/>
      <c r="G860" s="203"/>
      <c r="H860" s="113"/>
      <c r="I860" s="204"/>
      <c r="K860" s="123"/>
      <c r="L860" s="123"/>
      <c r="M860" s="123"/>
      <c r="P860" s="123"/>
    </row>
    <row r="861" spans="6:16" x14ac:dyDescent="0.25">
      <c r="F861" s="123"/>
      <c r="G861" s="203"/>
      <c r="H861" s="113"/>
      <c r="I861" s="204"/>
      <c r="K861" s="123"/>
      <c r="L861" s="123"/>
      <c r="M861" s="123"/>
      <c r="P861" s="123"/>
    </row>
    <row r="862" spans="6:16" x14ac:dyDescent="0.25">
      <c r="F862" s="123"/>
      <c r="G862" s="203"/>
      <c r="H862" s="113"/>
      <c r="I862" s="204"/>
      <c r="K862" s="123"/>
      <c r="L862" s="123"/>
      <c r="M862" s="123"/>
      <c r="P862" s="123"/>
    </row>
    <row r="863" spans="6:16" x14ac:dyDescent="0.25">
      <c r="F863" s="123"/>
      <c r="G863" s="203"/>
      <c r="H863" s="113"/>
      <c r="I863" s="204"/>
      <c r="K863" s="123"/>
      <c r="L863" s="123"/>
      <c r="M863" s="123"/>
      <c r="P863" s="123"/>
    </row>
    <row r="864" spans="6:16" x14ac:dyDescent="0.25">
      <c r="F864" s="123"/>
      <c r="G864" s="203"/>
      <c r="H864" s="113"/>
      <c r="I864" s="204"/>
      <c r="K864" s="123"/>
      <c r="L864" s="123"/>
      <c r="M864" s="123"/>
      <c r="P864" s="123"/>
    </row>
    <row r="865" spans="6:16" x14ac:dyDescent="0.25">
      <c r="F865" s="123"/>
      <c r="G865" s="203"/>
      <c r="H865" s="113"/>
      <c r="I865" s="204"/>
      <c r="K865" s="123"/>
      <c r="L865" s="123"/>
      <c r="M865" s="123"/>
      <c r="P865" s="123"/>
    </row>
    <row r="866" spans="6:16" x14ac:dyDescent="0.25">
      <c r="F866" s="123"/>
      <c r="G866" s="203"/>
      <c r="H866" s="113"/>
      <c r="I866" s="204"/>
      <c r="K866" s="123"/>
      <c r="L866" s="123"/>
      <c r="M866" s="123"/>
      <c r="P866" s="123"/>
    </row>
    <row r="867" spans="6:16" x14ac:dyDescent="0.25">
      <c r="F867" s="123"/>
      <c r="G867" s="203"/>
      <c r="H867" s="113"/>
      <c r="I867" s="204"/>
      <c r="K867" s="123"/>
      <c r="L867" s="123"/>
      <c r="M867" s="123"/>
      <c r="P867" s="123"/>
    </row>
    <row r="868" spans="6:16" x14ac:dyDescent="0.25">
      <c r="F868" s="123"/>
      <c r="G868" s="203"/>
      <c r="H868" s="113"/>
      <c r="I868" s="204"/>
      <c r="K868" s="123"/>
      <c r="L868" s="123"/>
      <c r="M868" s="123"/>
      <c r="P868" s="123"/>
    </row>
    <row r="869" spans="6:16" x14ac:dyDescent="0.25">
      <c r="F869" s="123"/>
      <c r="G869" s="203"/>
      <c r="H869" s="113"/>
      <c r="I869" s="204"/>
      <c r="K869" s="123"/>
      <c r="L869" s="123"/>
      <c r="M869" s="123"/>
      <c r="P869" s="123"/>
    </row>
    <row r="870" spans="6:16" x14ac:dyDescent="0.25">
      <c r="F870" s="123"/>
      <c r="G870" s="203"/>
      <c r="H870" s="113"/>
      <c r="I870" s="204"/>
      <c r="K870" s="123"/>
      <c r="L870" s="123"/>
      <c r="M870" s="123"/>
      <c r="P870" s="123"/>
    </row>
    <row r="871" spans="6:16" x14ac:dyDescent="0.25">
      <c r="F871" s="123"/>
      <c r="G871" s="203"/>
      <c r="H871" s="113"/>
      <c r="I871" s="204"/>
      <c r="K871" s="123"/>
      <c r="L871" s="123"/>
      <c r="M871" s="123"/>
      <c r="P871" s="123"/>
    </row>
    <row r="872" spans="6:16" x14ac:dyDescent="0.25">
      <c r="F872" s="123"/>
      <c r="G872" s="203"/>
      <c r="H872" s="113"/>
      <c r="I872" s="204"/>
      <c r="K872" s="123"/>
      <c r="L872" s="123"/>
      <c r="M872" s="123"/>
      <c r="P872" s="123"/>
    </row>
    <row r="873" spans="6:16" x14ac:dyDescent="0.25">
      <c r="F873" s="123"/>
      <c r="G873" s="203"/>
      <c r="H873" s="113"/>
      <c r="I873" s="204"/>
      <c r="K873" s="123"/>
      <c r="L873" s="123"/>
      <c r="M873" s="123"/>
      <c r="P873" s="123"/>
    </row>
    <row r="874" spans="6:16" x14ac:dyDescent="0.25">
      <c r="F874" s="123"/>
      <c r="G874" s="203"/>
      <c r="H874" s="113"/>
      <c r="I874" s="204"/>
      <c r="K874" s="123"/>
      <c r="L874" s="123"/>
      <c r="M874" s="123"/>
      <c r="P874" s="123"/>
    </row>
    <row r="875" spans="6:16" x14ac:dyDescent="0.25">
      <c r="F875" s="123"/>
      <c r="G875" s="203"/>
      <c r="H875" s="113"/>
      <c r="I875" s="204"/>
      <c r="K875" s="123"/>
      <c r="L875" s="123"/>
      <c r="M875" s="123"/>
      <c r="P875" s="123"/>
    </row>
    <row r="876" spans="6:16" x14ac:dyDescent="0.25">
      <c r="F876" s="123"/>
      <c r="G876" s="203"/>
      <c r="H876" s="113"/>
      <c r="I876" s="204"/>
      <c r="K876" s="123"/>
      <c r="L876" s="123"/>
      <c r="M876" s="123"/>
      <c r="P876" s="123"/>
    </row>
    <row r="877" spans="6:16" x14ac:dyDescent="0.25">
      <c r="F877" s="123"/>
      <c r="G877" s="203"/>
      <c r="H877" s="113"/>
      <c r="I877" s="204"/>
      <c r="K877" s="123"/>
      <c r="L877" s="123"/>
      <c r="M877" s="123"/>
      <c r="P877" s="123"/>
    </row>
    <row r="878" spans="6:16" x14ac:dyDescent="0.25">
      <c r="F878" s="123"/>
      <c r="G878" s="203"/>
      <c r="H878" s="113"/>
      <c r="I878" s="204"/>
      <c r="K878" s="123"/>
      <c r="L878" s="123"/>
      <c r="M878" s="123"/>
      <c r="P878" s="123"/>
    </row>
    <row r="879" spans="6:16" x14ac:dyDescent="0.25">
      <c r="F879" s="123"/>
      <c r="G879" s="203"/>
      <c r="H879" s="113"/>
      <c r="I879" s="204"/>
      <c r="K879" s="123"/>
      <c r="L879" s="123"/>
      <c r="M879" s="123"/>
      <c r="P879" s="123"/>
    </row>
    <row r="880" spans="6:16" x14ac:dyDescent="0.25">
      <c r="F880" s="123"/>
      <c r="G880" s="203"/>
      <c r="H880" s="113"/>
      <c r="I880" s="204"/>
      <c r="K880" s="123"/>
      <c r="L880" s="123"/>
      <c r="M880" s="123"/>
      <c r="P880" s="123"/>
    </row>
    <row r="881" spans="6:16" x14ac:dyDescent="0.25">
      <c r="F881" s="123"/>
      <c r="G881" s="203"/>
      <c r="H881" s="113"/>
      <c r="I881" s="204"/>
      <c r="K881" s="123"/>
      <c r="L881" s="123"/>
      <c r="M881" s="123"/>
      <c r="P881" s="123"/>
    </row>
    <row r="882" spans="6:16" x14ac:dyDescent="0.25">
      <c r="F882" s="123"/>
      <c r="G882" s="203"/>
      <c r="H882" s="113"/>
      <c r="I882" s="204"/>
      <c r="K882" s="123"/>
      <c r="L882" s="123"/>
      <c r="M882" s="123"/>
      <c r="P882" s="123"/>
    </row>
    <row r="883" spans="6:16" x14ac:dyDescent="0.25">
      <c r="F883" s="123"/>
      <c r="G883" s="203"/>
      <c r="H883" s="113"/>
      <c r="I883" s="204"/>
      <c r="K883" s="123"/>
      <c r="L883" s="123"/>
      <c r="M883" s="123"/>
      <c r="P883" s="123"/>
    </row>
    <row r="884" spans="6:16" x14ac:dyDescent="0.25">
      <c r="F884" s="123"/>
      <c r="G884" s="203"/>
      <c r="H884" s="113"/>
      <c r="I884" s="204"/>
      <c r="K884" s="123"/>
      <c r="L884" s="123"/>
      <c r="M884" s="123"/>
      <c r="P884" s="123"/>
    </row>
    <row r="885" spans="6:16" x14ac:dyDescent="0.25">
      <c r="F885" s="123"/>
      <c r="G885" s="203"/>
      <c r="H885" s="113"/>
      <c r="I885" s="204"/>
      <c r="K885" s="123"/>
      <c r="L885" s="123"/>
      <c r="M885" s="123"/>
      <c r="P885" s="123"/>
    </row>
    <row r="886" spans="6:16" x14ac:dyDescent="0.25">
      <c r="F886" s="123"/>
      <c r="G886" s="203"/>
      <c r="H886" s="113"/>
      <c r="I886" s="204"/>
      <c r="K886" s="123"/>
      <c r="L886" s="123"/>
      <c r="M886" s="123"/>
      <c r="P886" s="123"/>
    </row>
    <row r="887" spans="6:16" x14ac:dyDescent="0.25">
      <c r="F887" s="123"/>
      <c r="G887" s="203"/>
      <c r="H887" s="113"/>
      <c r="I887" s="204"/>
      <c r="K887" s="123"/>
      <c r="L887" s="123"/>
      <c r="M887" s="123"/>
      <c r="P887" s="123"/>
    </row>
    <row r="888" spans="6:16" x14ac:dyDescent="0.25">
      <c r="F888" s="123"/>
      <c r="G888" s="203"/>
      <c r="H888" s="113"/>
      <c r="I888" s="204"/>
      <c r="K888" s="123"/>
      <c r="L888" s="123"/>
      <c r="M888" s="123"/>
      <c r="P888" s="123"/>
    </row>
    <row r="889" spans="6:16" x14ac:dyDescent="0.25">
      <c r="F889" s="123"/>
      <c r="G889" s="203"/>
      <c r="H889" s="113"/>
      <c r="I889" s="204"/>
      <c r="K889" s="123"/>
      <c r="L889" s="123"/>
      <c r="M889" s="123"/>
      <c r="P889" s="123"/>
    </row>
    <row r="890" spans="6:16" x14ac:dyDescent="0.25">
      <c r="F890" s="123"/>
      <c r="G890" s="203"/>
      <c r="H890" s="113"/>
      <c r="I890" s="204"/>
      <c r="K890" s="123"/>
      <c r="L890" s="123"/>
      <c r="M890" s="123"/>
      <c r="P890" s="123"/>
    </row>
    <row r="891" spans="6:16" x14ac:dyDescent="0.25">
      <c r="F891" s="123"/>
      <c r="G891" s="203"/>
      <c r="H891" s="113"/>
      <c r="I891" s="204"/>
      <c r="K891" s="123"/>
      <c r="L891" s="123"/>
      <c r="M891" s="123"/>
      <c r="P891" s="123"/>
    </row>
    <row r="892" spans="6:16" x14ac:dyDescent="0.25">
      <c r="F892" s="123"/>
      <c r="G892" s="203"/>
      <c r="H892" s="113"/>
      <c r="I892" s="204"/>
      <c r="K892" s="123"/>
      <c r="L892" s="123"/>
      <c r="M892" s="123"/>
      <c r="P892" s="123"/>
    </row>
    <row r="893" spans="6:16" x14ac:dyDescent="0.25">
      <c r="F893" s="123"/>
      <c r="G893" s="203"/>
      <c r="H893" s="113"/>
      <c r="I893" s="204"/>
      <c r="K893" s="123"/>
      <c r="L893" s="123"/>
      <c r="M893" s="123"/>
      <c r="P893" s="123"/>
    </row>
    <row r="894" spans="6:16" x14ac:dyDescent="0.25">
      <c r="F894" s="123"/>
      <c r="G894" s="203"/>
      <c r="H894" s="113"/>
      <c r="I894" s="204"/>
      <c r="K894" s="123"/>
      <c r="L894" s="123"/>
      <c r="M894" s="123"/>
      <c r="P894" s="123"/>
    </row>
    <row r="895" spans="6:16" x14ac:dyDescent="0.25">
      <c r="F895" s="123"/>
      <c r="G895" s="203"/>
      <c r="H895" s="113"/>
      <c r="I895" s="204"/>
      <c r="K895" s="123"/>
      <c r="L895" s="123"/>
      <c r="M895" s="123"/>
      <c r="P895" s="123"/>
    </row>
    <row r="896" spans="6:16" x14ac:dyDescent="0.25">
      <c r="F896" s="123"/>
      <c r="G896" s="203"/>
      <c r="H896" s="113"/>
      <c r="I896" s="204"/>
      <c r="K896" s="123"/>
      <c r="L896" s="123"/>
      <c r="M896" s="123"/>
      <c r="P896" s="123"/>
    </row>
    <row r="897" spans="6:16" x14ac:dyDescent="0.25">
      <c r="F897" s="123"/>
      <c r="G897" s="203"/>
      <c r="H897" s="113"/>
      <c r="I897" s="204"/>
      <c r="K897" s="123"/>
      <c r="L897" s="123"/>
      <c r="M897" s="123"/>
      <c r="P897" s="123"/>
    </row>
    <row r="898" spans="6:16" x14ac:dyDescent="0.25">
      <c r="F898" s="123"/>
      <c r="G898" s="203"/>
      <c r="H898" s="113"/>
      <c r="I898" s="204"/>
      <c r="K898" s="123"/>
      <c r="L898" s="123"/>
      <c r="M898" s="123"/>
      <c r="P898" s="123"/>
    </row>
    <row r="899" spans="6:16" x14ac:dyDescent="0.25">
      <c r="F899" s="123"/>
      <c r="G899" s="203"/>
      <c r="H899" s="113"/>
      <c r="I899" s="204"/>
      <c r="K899" s="123"/>
      <c r="L899" s="123"/>
      <c r="M899" s="123"/>
      <c r="P899" s="123"/>
    </row>
    <row r="900" spans="6:16" x14ac:dyDescent="0.25">
      <c r="F900" s="123"/>
      <c r="G900" s="203"/>
      <c r="H900" s="113"/>
      <c r="I900" s="204"/>
      <c r="K900" s="123"/>
      <c r="L900" s="123"/>
      <c r="M900" s="123"/>
      <c r="P900" s="123"/>
    </row>
    <row r="901" spans="6:16" x14ac:dyDescent="0.25">
      <c r="F901" s="123"/>
      <c r="G901" s="203"/>
      <c r="H901" s="113"/>
      <c r="I901" s="204"/>
      <c r="K901" s="123"/>
      <c r="L901" s="123"/>
      <c r="M901" s="123"/>
      <c r="P901" s="123"/>
    </row>
    <row r="902" spans="6:16" x14ac:dyDescent="0.25">
      <c r="F902" s="123"/>
      <c r="G902" s="203"/>
      <c r="H902" s="113"/>
      <c r="I902" s="204"/>
      <c r="K902" s="123"/>
      <c r="L902" s="123"/>
      <c r="M902" s="123"/>
      <c r="P902" s="123"/>
    </row>
    <row r="903" spans="6:16" x14ac:dyDescent="0.25">
      <c r="F903" s="123"/>
      <c r="G903" s="203"/>
      <c r="H903" s="113"/>
      <c r="I903" s="204"/>
      <c r="K903" s="123"/>
      <c r="L903" s="123"/>
      <c r="M903" s="123"/>
      <c r="P903" s="123"/>
    </row>
    <row r="904" spans="6:16" x14ac:dyDescent="0.25">
      <c r="F904" s="123"/>
      <c r="G904" s="203"/>
      <c r="H904" s="113"/>
      <c r="I904" s="204"/>
      <c r="K904" s="123"/>
      <c r="L904" s="123"/>
      <c r="M904" s="123"/>
      <c r="P904" s="123"/>
    </row>
    <row r="905" spans="6:16" x14ac:dyDescent="0.25">
      <c r="F905" s="123"/>
      <c r="G905" s="203"/>
      <c r="H905" s="113"/>
      <c r="I905" s="204"/>
      <c r="K905" s="123"/>
      <c r="L905" s="123"/>
      <c r="M905" s="123"/>
      <c r="P905" s="123"/>
    </row>
    <row r="906" spans="6:16" x14ac:dyDescent="0.25">
      <c r="F906" s="123"/>
      <c r="G906" s="203"/>
      <c r="H906" s="113"/>
      <c r="I906" s="204"/>
      <c r="K906" s="123"/>
      <c r="L906" s="123"/>
      <c r="M906" s="123"/>
      <c r="P906" s="123"/>
    </row>
    <row r="907" spans="6:16" x14ac:dyDescent="0.25">
      <c r="F907" s="123"/>
      <c r="G907" s="203"/>
      <c r="H907" s="113"/>
      <c r="I907" s="204"/>
      <c r="K907" s="123"/>
      <c r="L907" s="123"/>
      <c r="M907" s="123"/>
      <c r="P907" s="123"/>
    </row>
    <row r="908" spans="6:16" x14ac:dyDescent="0.25">
      <c r="F908" s="123"/>
      <c r="G908" s="203"/>
      <c r="H908" s="113"/>
      <c r="I908" s="204"/>
      <c r="K908" s="123"/>
      <c r="L908" s="123"/>
      <c r="M908" s="123"/>
      <c r="P908" s="123"/>
    </row>
    <row r="909" spans="6:16" x14ac:dyDescent="0.25">
      <c r="F909" s="123"/>
      <c r="G909" s="203"/>
      <c r="H909" s="113"/>
      <c r="I909" s="204"/>
      <c r="K909" s="123"/>
      <c r="L909" s="123"/>
      <c r="M909" s="123"/>
      <c r="P909" s="123"/>
    </row>
    <row r="910" spans="6:16" x14ac:dyDescent="0.25">
      <c r="F910" s="123"/>
      <c r="G910" s="203"/>
      <c r="H910" s="113"/>
      <c r="I910" s="204"/>
      <c r="K910" s="123"/>
      <c r="L910" s="123"/>
      <c r="M910" s="123"/>
      <c r="P910" s="123"/>
    </row>
    <row r="911" spans="6:16" x14ac:dyDescent="0.25">
      <c r="F911" s="123"/>
      <c r="G911" s="203"/>
      <c r="H911" s="113"/>
      <c r="I911" s="204"/>
      <c r="K911" s="123"/>
      <c r="L911" s="123"/>
      <c r="M911" s="123"/>
      <c r="P911" s="123"/>
    </row>
    <row r="912" spans="6:16" x14ac:dyDescent="0.25">
      <c r="F912" s="123"/>
      <c r="G912" s="203"/>
      <c r="H912" s="113"/>
      <c r="I912" s="204"/>
      <c r="K912" s="123"/>
      <c r="L912" s="123"/>
      <c r="M912" s="123"/>
      <c r="P912" s="123"/>
    </row>
    <row r="913" spans="6:16" x14ac:dyDescent="0.25">
      <c r="F913" s="123"/>
      <c r="G913" s="203"/>
      <c r="H913" s="113"/>
      <c r="I913" s="204"/>
      <c r="K913" s="123"/>
      <c r="L913" s="123"/>
      <c r="M913" s="123"/>
      <c r="P913" s="123"/>
    </row>
    <row r="914" spans="6:16" x14ac:dyDescent="0.25">
      <c r="F914" s="123"/>
      <c r="G914" s="203"/>
      <c r="H914" s="113"/>
      <c r="I914" s="204"/>
      <c r="K914" s="123"/>
      <c r="L914" s="123"/>
      <c r="M914" s="123"/>
      <c r="P914" s="123"/>
    </row>
    <row r="915" spans="6:16" x14ac:dyDescent="0.25">
      <c r="F915" s="123"/>
      <c r="G915" s="203"/>
      <c r="H915" s="113"/>
      <c r="I915" s="204"/>
      <c r="K915" s="123"/>
      <c r="L915" s="123"/>
      <c r="M915" s="123"/>
      <c r="P915" s="123"/>
    </row>
    <row r="916" spans="6:16" x14ac:dyDescent="0.25">
      <c r="F916" s="123"/>
      <c r="G916" s="203"/>
      <c r="H916" s="113"/>
      <c r="I916" s="204"/>
      <c r="K916" s="123"/>
      <c r="L916" s="123"/>
      <c r="M916" s="123"/>
      <c r="P916" s="123"/>
    </row>
    <row r="917" spans="6:16" x14ac:dyDescent="0.25">
      <c r="F917" s="123"/>
      <c r="G917" s="203"/>
      <c r="H917" s="113"/>
      <c r="I917" s="204"/>
      <c r="K917" s="123"/>
      <c r="L917" s="123"/>
      <c r="M917" s="123"/>
      <c r="P917" s="123"/>
    </row>
    <row r="918" spans="6:16" x14ac:dyDescent="0.25">
      <c r="F918" s="123"/>
      <c r="G918" s="203"/>
      <c r="H918" s="113"/>
      <c r="I918" s="204"/>
      <c r="K918" s="123"/>
      <c r="L918" s="123"/>
      <c r="M918" s="123"/>
      <c r="P918" s="123"/>
    </row>
    <row r="919" spans="6:16" x14ac:dyDescent="0.25">
      <c r="F919" s="123"/>
      <c r="G919" s="203"/>
      <c r="H919" s="113"/>
      <c r="I919" s="204"/>
      <c r="K919" s="123"/>
      <c r="L919" s="123"/>
      <c r="M919" s="123"/>
      <c r="P919" s="123"/>
    </row>
    <row r="920" spans="6:16" x14ac:dyDescent="0.25">
      <c r="F920" s="123"/>
      <c r="G920" s="203"/>
      <c r="H920" s="113"/>
      <c r="I920" s="204"/>
      <c r="K920" s="123"/>
      <c r="L920" s="123"/>
      <c r="M920" s="123"/>
      <c r="P920" s="123"/>
    </row>
    <row r="921" spans="6:16" x14ac:dyDescent="0.25">
      <c r="F921" s="123"/>
      <c r="G921" s="203"/>
      <c r="H921" s="113"/>
      <c r="I921" s="204"/>
      <c r="K921" s="123"/>
      <c r="L921" s="123"/>
      <c r="M921" s="123"/>
      <c r="P921" s="123"/>
    </row>
    <row r="922" spans="6:16" x14ac:dyDescent="0.25">
      <c r="F922" s="123"/>
      <c r="G922" s="203"/>
      <c r="H922" s="113"/>
      <c r="I922" s="204"/>
      <c r="K922" s="123"/>
      <c r="L922" s="123"/>
      <c r="M922" s="123"/>
      <c r="P922" s="123"/>
    </row>
    <row r="923" spans="6:16" x14ac:dyDescent="0.25">
      <c r="F923" s="123"/>
      <c r="G923" s="203"/>
      <c r="H923" s="113"/>
      <c r="I923" s="204"/>
      <c r="K923" s="123"/>
      <c r="L923" s="123"/>
      <c r="M923" s="123"/>
      <c r="P923" s="123"/>
    </row>
    <row r="924" spans="6:16" x14ac:dyDescent="0.25">
      <c r="F924" s="123"/>
      <c r="G924" s="203"/>
      <c r="H924" s="113"/>
      <c r="I924" s="204"/>
      <c r="K924" s="123"/>
      <c r="L924" s="123"/>
      <c r="M924" s="123"/>
      <c r="P924" s="123"/>
    </row>
    <row r="925" spans="6:16" x14ac:dyDescent="0.25">
      <c r="F925" s="123"/>
      <c r="G925" s="203"/>
      <c r="H925" s="113"/>
      <c r="I925" s="204"/>
      <c r="K925" s="123"/>
      <c r="L925" s="123"/>
      <c r="M925" s="123"/>
      <c r="P925" s="123"/>
    </row>
    <row r="926" spans="6:16" x14ac:dyDescent="0.25">
      <c r="F926" s="123"/>
      <c r="G926" s="203"/>
      <c r="H926" s="113"/>
      <c r="I926" s="204"/>
      <c r="K926" s="123"/>
      <c r="L926" s="123"/>
      <c r="M926" s="123"/>
      <c r="P926" s="123"/>
    </row>
    <row r="927" spans="6:16" x14ac:dyDescent="0.25">
      <c r="F927" s="123"/>
      <c r="G927" s="203"/>
      <c r="H927" s="113"/>
      <c r="I927" s="204"/>
      <c r="K927" s="123"/>
      <c r="L927" s="123"/>
      <c r="M927" s="123"/>
      <c r="P927" s="123"/>
    </row>
    <row r="928" spans="6:16" x14ac:dyDescent="0.25">
      <c r="F928" s="123"/>
      <c r="G928" s="203"/>
      <c r="H928" s="113"/>
      <c r="I928" s="204"/>
      <c r="K928" s="123"/>
      <c r="L928" s="123"/>
      <c r="M928" s="123"/>
      <c r="P928" s="123"/>
    </row>
    <row r="929" spans="6:16" x14ac:dyDescent="0.25">
      <c r="F929" s="123"/>
      <c r="G929" s="203"/>
      <c r="H929" s="113"/>
      <c r="I929" s="204"/>
      <c r="K929" s="123"/>
      <c r="L929" s="123"/>
      <c r="M929" s="123"/>
      <c r="P929" s="123"/>
    </row>
    <row r="930" spans="6:16" x14ac:dyDescent="0.25">
      <c r="F930" s="123"/>
      <c r="G930" s="203"/>
      <c r="H930" s="113"/>
      <c r="I930" s="204"/>
      <c r="K930" s="123"/>
      <c r="L930" s="123"/>
      <c r="M930" s="123"/>
      <c r="P930" s="123"/>
    </row>
    <row r="931" spans="6:16" x14ac:dyDescent="0.25">
      <c r="F931" s="123"/>
      <c r="G931" s="203"/>
      <c r="H931" s="113"/>
      <c r="I931" s="204"/>
      <c r="K931" s="123"/>
      <c r="L931" s="123"/>
      <c r="M931" s="123"/>
      <c r="P931" s="123"/>
    </row>
    <row r="932" spans="6:16" x14ac:dyDescent="0.25">
      <c r="F932" s="123"/>
      <c r="G932" s="203"/>
      <c r="H932" s="113"/>
      <c r="I932" s="204"/>
      <c r="K932" s="123"/>
      <c r="L932" s="123"/>
      <c r="M932" s="123"/>
      <c r="P932" s="123"/>
    </row>
    <row r="933" spans="6:16" x14ac:dyDescent="0.25">
      <c r="F933" s="123"/>
      <c r="G933" s="203"/>
      <c r="H933" s="113"/>
      <c r="I933" s="204"/>
      <c r="K933" s="123"/>
      <c r="L933" s="123"/>
      <c r="M933" s="123"/>
      <c r="P933" s="123"/>
    </row>
    <row r="934" spans="6:16" x14ac:dyDescent="0.25">
      <c r="F934" s="123"/>
      <c r="G934" s="203"/>
      <c r="H934" s="113"/>
      <c r="I934" s="204"/>
      <c r="K934" s="123"/>
      <c r="L934" s="123"/>
      <c r="M934" s="123"/>
      <c r="P934" s="123"/>
    </row>
    <row r="935" spans="6:16" x14ac:dyDescent="0.25">
      <c r="F935" s="123"/>
      <c r="G935" s="203"/>
      <c r="H935" s="113"/>
      <c r="I935" s="204"/>
      <c r="K935" s="123"/>
      <c r="L935" s="123"/>
      <c r="M935" s="123"/>
      <c r="P935" s="123"/>
    </row>
    <row r="936" spans="6:16" x14ac:dyDescent="0.25">
      <c r="F936" s="123"/>
      <c r="G936" s="203"/>
      <c r="H936" s="113"/>
      <c r="I936" s="204"/>
      <c r="K936" s="123"/>
      <c r="L936" s="123"/>
      <c r="M936" s="123"/>
      <c r="P936" s="123"/>
    </row>
    <row r="937" spans="6:16" x14ac:dyDescent="0.25">
      <c r="F937" s="123"/>
      <c r="G937" s="203"/>
      <c r="H937" s="113"/>
      <c r="I937" s="204"/>
      <c r="K937" s="123"/>
      <c r="L937" s="123"/>
      <c r="M937" s="123"/>
      <c r="P937" s="123"/>
    </row>
    <row r="938" spans="6:16" x14ac:dyDescent="0.25">
      <c r="F938" s="123"/>
      <c r="G938" s="203"/>
      <c r="H938" s="113"/>
      <c r="I938" s="204"/>
      <c r="K938" s="123"/>
      <c r="L938" s="123"/>
      <c r="M938" s="123"/>
      <c r="P938" s="123"/>
    </row>
    <row r="939" spans="6:16" x14ac:dyDescent="0.25">
      <c r="F939" s="123"/>
      <c r="G939" s="203"/>
      <c r="H939" s="113"/>
      <c r="I939" s="204"/>
      <c r="K939" s="123"/>
      <c r="L939" s="123"/>
      <c r="M939" s="123"/>
      <c r="P939" s="123"/>
    </row>
    <row r="940" spans="6:16" x14ac:dyDescent="0.25">
      <c r="F940" s="123"/>
      <c r="G940" s="203"/>
      <c r="H940" s="113"/>
      <c r="I940" s="204"/>
      <c r="K940" s="123"/>
      <c r="L940" s="123"/>
      <c r="M940" s="123"/>
      <c r="P940" s="123"/>
    </row>
    <row r="941" spans="6:16" x14ac:dyDescent="0.25">
      <c r="F941" s="123"/>
      <c r="G941" s="203"/>
      <c r="H941" s="113"/>
      <c r="I941" s="204"/>
      <c r="K941" s="123"/>
      <c r="L941" s="123"/>
      <c r="M941" s="123"/>
      <c r="P941" s="123"/>
    </row>
    <row r="942" spans="6:16" x14ac:dyDescent="0.25">
      <c r="F942" s="123"/>
      <c r="G942" s="203"/>
      <c r="H942" s="113"/>
      <c r="I942" s="204"/>
      <c r="K942" s="123"/>
      <c r="L942" s="123"/>
      <c r="M942" s="123"/>
      <c r="P942" s="123"/>
    </row>
    <row r="943" spans="6:16" x14ac:dyDescent="0.25">
      <c r="F943" s="123"/>
      <c r="G943" s="203"/>
      <c r="H943" s="113"/>
      <c r="I943" s="204"/>
      <c r="K943" s="123"/>
      <c r="L943" s="123"/>
      <c r="M943" s="123"/>
      <c r="P943" s="123"/>
    </row>
    <row r="944" spans="6:16" x14ac:dyDescent="0.25">
      <c r="F944" s="123"/>
      <c r="G944" s="203"/>
      <c r="H944" s="113"/>
      <c r="I944" s="204"/>
      <c r="K944" s="123"/>
      <c r="L944" s="123"/>
      <c r="M944" s="123"/>
      <c r="P944" s="123"/>
    </row>
    <row r="945" spans="6:16" x14ac:dyDescent="0.25">
      <c r="F945" s="123"/>
      <c r="G945" s="203"/>
      <c r="H945" s="113"/>
      <c r="I945" s="204"/>
      <c r="K945" s="123"/>
      <c r="L945" s="123"/>
      <c r="M945" s="123"/>
      <c r="P945" s="123"/>
    </row>
    <row r="946" spans="6:16" x14ac:dyDescent="0.25">
      <c r="F946" s="123"/>
      <c r="G946" s="203"/>
      <c r="H946" s="113"/>
      <c r="I946" s="204"/>
      <c r="K946" s="123"/>
      <c r="L946" s="123"/>
      <c r="M946" s="123"/>
      <c r="P946" s="123"/>
    </row>
    <row r="947" spans="6:16" x14ac:dyDescent="0.25">
      <c r="F947" s="123"/>
      <c r="G947" s="203"/>
      <c r="H947" s="113"/>
      <c r="I947" s="204"/>
      <c r="K947" s="123"/>
      <c r="L947" s="123"/>
      <c r="M947" s="123"/>
      <c r="P947" s="123"/>
    </row>
    <row r="948" spans="6:16" x14ac:dyDescent="0.25">
      <c r="F948" s="123"/>
      <c r="G948" s="203"/>
      <c r="H948" s="113"/>
      <c r="I948" s="204"/>
      <c r="K948" s="123"/>
      <c r="L948" s="123"/>
      <c r="M948" s="123"/>
      <c r="P948" s="123"/>
    </row>
    <row r="949" spans="6:16" x14ac:dyDescent="0.25">
      <c r="F949" s="123"/>
      <c r="G949" s="203"/>
      <c r="H949" s="113"/>
      <c r="I949" s="204"/>
      <c r="K949" s="123"/>
      <c r="L949" s="123"/>
      <c r="M949" s="123"/>
      <c r="P949" s="123"/>
    </row>
    <row r="950" spans="6:16" x14ac:dyDescent="0.25">
      <c r="F950" s="123"/>
      <c r="G950" s="203"/>
      <c r="H950" s="113"/>
      <c r="I950" s="204"/>
      <c r="K950" s="123"/>
      <c r="L950" s="123"/>
      <c r="M950" s="123"/>
      <c r="P950" s="123"/>
    </row>
    <row r="951" spans="6:16" x14ac:dyDescent="0.25">
      <c r="F951" s="123"/>
      <c r="G951" s="203"/>
      <c r="H951" s="113"/>
      <c r="I951" s="204"/>
      <c r="K951" s="123"/>
      <c r="L951" s="123"/>
      <c r="M951" s="123"/>
      <c r="P951" s="123"/>
    </row>
    <row r="952" spans="6:16" x14ac:dyDescent="0.25">
      <c r="F952" s="123"/>
      <c r="G952" s="203"/>
      <c r="H952" s="113"/>
      <c r="I952" s="204"/>
      <c r="K952" s="123"/>
      <c r="L952" s="123"/>
      <c r="M952" s="123"/>
      <c r="P952" s="123"/>
    </row>
    <row r="953" spans="6:16" x14ac:dyDescent="0.25">
      <c r="F953" s="123"/>
      <c r="G953" s="203"/>
      <c r="H953" s="113"/>
      <c r="I953" s="204"/>
      <c r="K953" s="123"/>
      <c r="L953" s="123"/>
      <c r="M953" s="123"/>
      <c r="P953" s="123"/>
    </row>
    <row r="954" spans="6:16" x14ac:dyDescent="0.25">
      <c r="F954" s="123"/>
      <c r="G954" s="203"/>
      <c r="H954" s="113"/>
      <c r="I954" s="204"/>
      <c r="K954" s="123"/>
      <c r="L954" s="123"/>
      <c r="M954" s="123"/>
      <c r="P954" s="123"/>
    </row>
    <row r="955" spans="6:16" x14ac:dyDescent="0.25">
      <c r="F955" s="123"/>
      <c r="G955" s="203"/>
      <c r="H955" s="113"/>
      <c r="I955" s="204"/>
      <c r="K955" s="123"/>
      <c r="L955" s="123"/>
      <c r="M955" s="123"/>
      <c r="P955" s="123"/>
    </row>
    <row r="956" spans="6:16" x14ac:dyDescent="0.25">
      <c r="F956" s="123"/>
      <c r="G956" s="203"/>
      <c r="H956" s="113"/>
      <c r="I956" s="204"/>
      <c r="K956" s="123"/>
      <c r="L956" s="123"/>
      <c r="M956" s="123"/>
      <c r="P956" s="123"/>
    </row>
    <row r="957" spans="6:16" x14ac:dyDescent="0.25">
      <c r="F957" s="123"/>
      <c r="G957" s="203"/>
      <c r="H957" s="113"/>
      <c r="I957" s="204"/>
      <c r="K957" s="123"/>
      <c r="L957" s="123"/>
      <c r="M957" s="123"/>
      <c r="P957" s="123"/>
    </row>
    <row r="958" spans="6:16" x14ac:dyDescent="0.25">
      <c r="F958" s="123"/>
      <c r="G958" s="203"/>
      <c r="H958" s="113"/>
      <c r="I958" s="204"/>
      <c r="K958" s="123"/>
      <c r="L958" s="123"/>
      <c r="M958" s="123"/>
      <c r="P958" s="123"/>
    </row>
    <row r="959" spans="6:16" x14ac:dyDescent="0.25">
      <c r="F959" s="123"/>
      <c r="G959" s="203"/>
      <c r="H959" s="113"/>
      <c r="I959" s="204"/>
      <c r="K959" s="123"/>
      <c r="L959" s="123"/>
      <c r="M959" s="123"/>
      <c r="P959" s="123"/>
    </row>
  </sheetData>
  <sheetProtection algorithmName="SHA-512" hashValue="srZPeu0yzkzqeqYf5uEarJ42kTjMQirc5jyyWKSL54yw9USWSYQ9ObpQnmvZn7uVLhbYOr7Og96anZfkWdF7zQ==" saltValue="Uauql7C+ITUq8LJ1xTfvPw==" spinCount="100000" sheet="1" objects="1" scenarios="1"/>
  <mergeCells count="3">
    <mergeCell ref="C17:E17"/>
    <mergeCell ref="C37:E37"/>
    <mergeCell ref="C70:E70"/>
  </mergeCells>
  <hyperlinks>
    <hyperlink ref="R52" location="'Staffels &amp; Tabellen'!D104" display="Bekijk Staffel" xr:uid="{6F09FEA2-AB90-4050-B164-274E00F54A69}"/>
    <hyperlink ref="R61" location="'Staffels &amp; Tabellen'!D133" display="Bekijk Staffel" xr:uid="{03E6EACF-1599-42BE-8045-C1C3DE4171FD}"/>
    <hyperlink ref="R130" location="'Staffels &amp; Tabellen'!D149" display="Bekijk Staffel" xr:uid="{BEB8D120-8438-4C80-A408-5A7A09E2359B}"/>
    <hyperlink ref="R132" location="'Staffels &amp; Tabellen'!D161" display="Bekijk Staffel" xr:uid="{DF927CFB-130B-42FC-98C2-FD37B3E9252B}"/>
    <hyperlink ref="R46" location="'Staffels &amp; Tabellen'!D89" display="Bekijk Staffel" xr:uid="{8825ED3C-47C6-4871-8287-D34E0A2E40F4}"/>
    <hyperlink ref="R38" location="'Staffels &amp; Tabellen'!D42" display="Bekijk Staffel" xr:uid="{47ECF586-E770-449B-B773-FB780C9E1947}"/>
    <hyperlink ref="R33" location="'Staffels &amp; Tabellen'!D73" display="Bekijk Staffel" xr:uid="{73E1DF08-E6EE-438A-A64F-13D8BDED9796}"/>
    <hyperlink ref="R25" location="'Staffels &amp; Tabellen'!D57" display="Bekijk Staffel" xr:uid="{FD96686E-0EBF-49A8-AE2E-8B50BD849A6F}"/>
    <hyperlink ref="R133" location="'Staffels &amp; Tabellen'!D322" display="Bekijk Staffel" xr:uid="{70660B5A-F374-4CDE-9D27-C4DE9F899BBF}"/>
    <hyperlink ref="R20" location="'Staffels &amp; Tabellen'!D281" display="Bekijk Staffel" xr:uid="{1A800701-50B2-456B-B01F-0AE2220D1C3C}"/>
  </hyperlink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9BDD62-640A-4B13-8058-CD7E842BA048}">
  <dimension ref="A1:L48"/>
  <sheetViews>
    <sheetView showGridLines="0" topLeftCell="A4" zoomScale="90" zoomScaleNormal="90" workbookViewId="0">
      <selection activeCell="E23" sqref="E23"/>
    </sheetView>
  </sheetViews>
  <sheetFormatPr defaultRowHeight="14.4" x14ac:dyDescent="0.3"/>
  <cols>
    <col min="2" max="2" width="3.77734375" customWidth="1"/>
    <col min="3" max="3" width="96.77734375" customWidth="1"/>
    <col min="4" max="4" width="18.5546875" customWidth="1"/>
    <col min="5" max="5" width="17.77734375" customWidth="1"/>
    <col min="8" max="8" width="35.21875" hidden="1" customWidth="1"/>
    <col min="9" max="9" width="27.5546875" hidden="1" customWidth="1"/>
    <col min="10" max="10" width="23.5546875" hidden="1" customWidth="1"/>
    <col min="11" max="11" width="5.44140625" bestFit="1" customWidth="1"/>
    <col min="12" max="12" width="13.5546875" bestFit="1" customWidth="1"/>
    <col min="13" max="13" width="10.21875" bestFit="1" customWidth="1"/>
    <col min="14" max="14" width="15.44140625" bestFit="1" customWidth="1"/>
  </cols>
  <sheetData>
    <row r="1" spans="1:9" ht="15" thickBot="1" x14ac:dyDescent="0.35">
      <c r="A1" s="237"/>
      <c r="B1" s="237"/>
      <c r="C1" s="237"/>
      <c r="D1" s="242"/>
      <c r="E1" s="243"/>
      <c r="F1" s="237"/>
      <c r="G1" s="237"/>
    </row>
    <row r="2" spans="1:9" ht="16.2" x14ac:dyDescent="0.3">
      <c r="A2" s="237"/>
      <c r="B2" s="249" t="str">
        <f>Vragenlijst!B2</f>
        <v>Plankostenregels bij kostenverhaal Met tijdvak</v>
      </c>
      <c r="C2" s="652"/>
      <c r="D2" s="652"/>
      <c r="E2" s="251"/>
      <c r="F2" s="237"/>
      <c r="G2" s="237"/>
    </row>
    <row r="3" spans="1:9" ht="16.2" x14ac:dyDescent="0.3">
      <c r="A3" s="237"/>
      <c r="B3" s="252"/>
      <c r="C3" s="244"/>
      <c r="D3" s="244"/>
      <c r="E3" s="245"/>
      <c r="F3" s="237"/>
      <c r="G3" s="237"/>
    </row>
    <row r="4" spans="1:9" ht="16.8" thickBot="1" x14ac:dyDescent="0.35">
      <c r="A4" s="237"/>
      <c r="B4" s="253" t="s">
        <v>223</v>
      </c>
      <c r="C4" s="254"/>
      <c r="D4" s="254"/>
      <c r="E4" s="255"/>
      <c r="F4" s="237"/>
      <c r="G4" s="237"/>
    </row>
    <row r="5" spans="1:9" x14ac:dyDescent="0.3">
      <c r="A5" s="237"/>
      <c r="B5" s="60"/>
      <c r="C5" s="69" t="s">
        <v>30</v>
      </c>
      <c r="D5" s="96">
        <f ca="1">Vragenlijst!E5</f>
        <v>46210</v>
      </c>
      <c r="E5" s="61"/>
      <c r="F5" s="237"/>
      <c r="G5" s="237"/>
    </row>
    <row r="6" spans="1:9" x14ac:dyDescent="0.3">
      <c r="A6" s="237"/>
      <c r="B6" s="60"/>
      <c r="C6" s="69" t="s">
        <v>31</v>
      </c>
      <c r="D6" s="96" t="str">
        <f>Vragenlijst!E6</f>
        <v>….</v>
      </c>
      <c r="E6" s="61"/>
      <c r="F6" s="237"/>
      <c r="G6" s="237"/>
    </row>
    <row r="7" spans="1:9" x14ac:dyDescent="0.3">
      <c r="A7" s="237"/>
      <c r="B7" s="60"/>
      <c r="C7" s="69" t="s">
        <v>33</v>
      </c>
      <c r="D7" s="96" t="str">
        <f>Vragenlijst!E7</f>
        <v>….</v>
      </c>
      <c r="E7" s="61"/>
      <c r="F7" s="237"/>
      <c r="G7" s="237"/>
    </row>
    <row r="8" spans="1:9" x14ac:dyDescent="0.3">
      <c r="A8" s="237"/>
      <c r="B8" s="60"/>
      <c r="C8" s="69" t="s">
        <v>34</v>
      </c>
      <c r="D8" s="96" t="str">
        <f>Vragenlijst!E8</f>
        <v>….</v>
      </c>
      <c r="E8" s="61"/>
      <c r="F8" s="237"/>
      <c r="G8" s="237"/>
    </row>
    <row r="9" spans="1:9" x14ac:dyDescent="0.3">
      <c r="A9" s="237"/>
      <c r="B9" s="233"/>
      <c r="C9" s="234"/>
      <c r="D9" s="235"/>
      <c r="E9" s="236"/>
      <c r="F9" s="237"/>
      <c r="G9" s="237"/>
    </row>
    <row r="10" spans="1:9" ht="15.6" x14ac:dyDescent="0.3">
      <c r="A10" s="237"/>
      <c r="B10" s="85"/>
      <c r="C10" s="99"/>
      <c r="D10" s="88" t="s">
        <v>224</v>
      </c>
      <c r="E10" s="89" t="s">
        <v>225</v>
      </c>
      <c r="F10" s="238"/>
      <c r="G10" s="238"/>
    </row>
    <row r="11" spans="1:9" ht="15.6" x14ac:dyDescent="0.3">
      <c r="A11" s="237"/>
      <c r="B11" s="85"/>
      <c r="C11" s="99" t="str">
        <f>Productenlijst!C17</f>
        <v>Omgevingsplan, projectbesluit of omgevingsvergunning voor het kostenverhaalsgebied</v>
      </c>
      <c r="D11" s="622">
        <f>SUM(D12:D15)</f>
        <v>0</v>
      </c>
      <c r="E11" s="623">
        <f>SUM(E12:E15)</f>
        <v>0</v>
      </c>
      <c r="F11" s="239"/>
      <c r="G11" s="239"/>
      <c r="H11" s="436"/>
    </row>
    <row r="12" spans="1:9" x14ac:dyDescent="0.3">
      <c r="A12" s="237"/>
      <c r="B12" s="90" t="str">
        <f>IF(Vragenlijst!E13='Drop Down '!B2,"","1.1")</f>
        <v/>
      </c>
      <c r="C12" s="100" t="str">
        <f>IF(Vragenlijst!E13='Drop Down '!B2,"",Productenlijst!C19)</f>
        <v/>
      </c>
      <c r="D12" s="91" t="str">
        <f>IF(Vragenlijst!E13='Drop Down '!B2,"",Productenlijst!P23)</f>
        <v/>
      </c>
      <c r="E12" s="92" t="str">
        <f>IF(Vragenlijst!E13='Drop Down '!B2,"",Productenlijst!N23)</f>
        <v/>
      </c>
      <c r="F12" s="239"/>
      <c r="G12" s="239"/>
      <c r="H12" s="436"/>
    </row>
    <row r="13" spans="1:9" x14ac:dyDescent="0.3">
      <c r="A13" s="241"/>
      <c r="B13" s="90" t="s">
        <v>144</v>
      </c>
      <c r="C13" s="100" t="str">
        <f>IF(Vragenlijst!$E$61='Drop Down '!$B$22,Productenlijst!$C$24,IF(Vragenlijst!$E$61='Drop Down '!$B$23,Productenlijst!$C$24,Productenlijst!$C$37))</f>
        <v>A. Opstellen en vaststellen gedetailleerd omgevingsplan</v>
      </c>
      <c r="D13" s="91">
        <f>Productenlijst!P31+Productenlijst!P35+Productenlijst!P44+Productenlijst!P48</f>
        <v>0</v>
      </c>
      <c r="E13" s="92">
        <f>Productenlijst!N31+Productenlijst!N35+Productenlijst!N44+Productenlijst!N48</f>
        <v>0</v>
      </c>
      <c r="F13" s="240"/>
      <c r="G13" s="646"/>
    </row>
    <row r="14" spans="1:9" x14ac:dyDescent="0.3">
      <c r="A14" s="241"/>
      <c r="B14" s="90" t="s">
        <v>164</v>
      </c>
      <c r="C14" s="100" t="str">
        <f>Productenlijst!C51</f>
        <v>Stedenbouwkundig plan</v>
      </c>
      <c r="D14" s="91">
        <f>Productenlijst!P59</f>
        <v>0</v>
      </c>
      <c r="E14" s="92">
        <f>Productenlijst!N59</f>
        <v>0</v>
      </c>
      <c r="F14" s="240"/>
      <c r="G14" s="240"/>
      <c r="H14" s="424"/>
      <c r="I14" s="425"/>
    </row>
    <row r="15" spans="1:9" x14ac:dyDescent="0.3">
      <c r="A15" s="241"/>
      <c r="B15" s="90" t="s">
        <v>169</v>
      </c>
      <c r="C15" s="100" t="str">
        <f>Productenlijst!C60</f>
        <v>Beeldkwaliteitsplan</v>
      </c>
      <c r="D15" s="91">
        <f>Productenlijst!P66</f>
        <v>0</v>
      </c>
      <c r="E15" s="92">
        <f>Productenlijst!N66</f>
        <v>0</v>
      </c>
      <c r="F15" s="240"/>
      <c r="G15" s="240"/>
      <c r="H15" s="424"/>
      <c r="I15" s="425"/>
    </row>
    <row r="16" spans="1:9" ht="15.6" x14ac:dyDescent="0.3">
      <c r="A16" s="237"/>
      <c r="B16" s="93"/>
      <c r="C16" s="101"/>
      <c r="D16" s="91"/>
      <c r="E16" s="92"/>
      <c r="F16" s="240"/>
      <c r="G16" s="240"/>
      <c r="H16" s="424"/>
      <c r="I16" s="425"/>
    </row>
    <row r="17" spans="1:12" ht="15.6" x14ac:dyDescent="0.3">
      <c r="A17" s="237"/>
      <c r="B17" s="93"/>
      <c r="C17" s="99" t="str">
        <f>Productenlijst!C70</f>
        <v>Werkzaamheden ten behoeve van het uitvoeren van het omgevingsplan</v>
      </c>
      <c r="D17" s="622">
        <f>SUM(D18:D21)</f>
        <v>0</v>
      </c>
      <c r="E17" s="623">
        <f>SUM(E18:E21)</f>
        <v>0</v>
      </c>
      <c r="F17" s="240"/>
      <c r="G17" s="240"/>
      <c r="H17" s="424"/>
      <c r="I17" s="425"/>
    </row>
    <row r="18" spans="1:12" x14ac:dyDescent="0.3">
      <c r="A18" s="237"/>
      <c r="B18" s="90" t="s">
        <v>172</v>
      </c>
      <c r="C18" s="100" t="s">
        <v>226</v>
      </c>
      <c r="D18" s="91">
        <f>Productenlijst!P78+Productenlijst!P84+Productenlijst!P87+Productenlijst!P100+Productenlijst!P108+Productenlijst!P114</f>
        <v>0</v>
      </c>
      <c r="E18" s="92">
        <f>Productenlijst!N78+Productenlijst!N84+Productenlijst!N87+Productenlijst!N100+Productenlijst!N108+Productenlijst!N114</f>
        <v>0</v>
      </c>
      <c r="F18" s="240"/>
      <c r="G18" s="240"/>
    </row>
    <row r="19" spans="1:12" x14ac:dyDescent="0.3">
      <c r="A19" s="237"/>
      <c r="B19" s="90" t="s">
        <v>198</v>
      </c>
      <c r="C19" s="100" t="str">
        <f>Productenlijst!C115</f>
        <v xml:space="preserve">Inrichtingsplan openbare ruimte </v>
      </c>
      <c r="D19" s="91">
        <f>Productenlijst!P122</f>
        <v>0</v>
      </c>
      <c r="E19" s="92">
        <f>Productenlijst!N122</f>
        <v>0</v>
      </c>
      <c r="F19" s="240"/>
      <c r="G19" s="240"/>
    </row>
    <row r="20" spans="1:12" x14ac:dyDescent="0.3">
      <c r="A20" s="237"/>
      <c r="B20" s="90" t="s">
        <v>204</v>
      </c>
      <c r="C20" s="100" t="str">
        <f>Productenlijst!C123</f>
        <v>Voorbereiding, toezicht en directievoering bij civiel en cultuurtechnische werken</v>
      </c>
      <c r="D20" s="91">
        <f>Productenlijst!P127</f>
        <v>0</v>
      </c>
      <c r="E20" s="92">
        <f>Productenlijst!N127</f>
        <v>0</v>
      </c>
      <c r="F20" s="240"/>
      <c r="G20" s="240"/>
    </row>
    <row r="21" spans="1:12" x14ac:dyDescent="0.3">
      <c r="A21" s="237"/>
      <c r="B21" s="90" t="s">
        <v>211</v>
      </c>
      <c r="C21" s="100" t="str">
        <f>Productenlijst!C129</f>
        <v>Algemene en financiele verantwoording en aansturing van het project inclusief bestuurlijke besluitvorming</v>
      </c>
      <c r="D21" s="91">
        <f>Productenlijst!P138</f>
        <v>0</v>
      </c>
      <c r="E21" s="92">
        <f>Productenlijst!N138</f>
        <v>0</v>
      </c>
      <c r="F21" s="240"/>
      <c r="G21" s="240"/>
    </row>
    <row r="22" spans="1:12" ht="15.6" x14ac:dyDescent="0.3">
      <c r="A22" s="237"/>
      <c r="B22" s="93"/>
      <c r="C22" s="101"/>
      <c r="D22" s="86"/>
      <c r="E22" s="87"/>
      <c r="F22" s="240"/>
      <c r="G22" s="240"/>
    </row>
    <row r="23" spans="1:12" ht="15.6" x14ac:dyDescent="0.3">
      <c r="A23" s="237"/>
      <c r="B23" s="93"/>
      <c r="C23" s="101" t="s">
        <v>227</v>
      </c>
      <c r="D23" s="620">
        <f>+D17+D11</f>
        <v>0</v>
      </c>
      <c r="E23" s="621">
        <f>+E17+E11</f>
        <v>0</v>
      </c>
      <c r="F23" s="240"/>
      <c r="G23" s="240"/>
    </row>
    <row r="24" spans="1:12" ht="15" thickBot="1" x14ac:dyDescent="0.35">
      <c r="A24" s="237"/>
      <c r="B24" s="233"/>
      <c r="C24" s="234"/>
      <c r="D24" s="235"/>
      <c r="E24" s="236"/>
      <c r="F24" s="240"/>
      <c r="G24" s="240"/>
    </row>
    <row r="25" spans="1:12" ht="16.2" x14ac:dyDescent="0.3">
      <c r="A25" s="237"/>
      <c r="B25" s="249" t="s">
        <v>228</v>
      </c>
      <c r="C25" s="250"/>
      <c r="D25" s="250"/>
      <c r="E25" s="251"/>
      <c r="F25" s="240"/>
      <c r="G25" s="240"/>
      <c r="H25" s="612" t="s">
        <v>229</v>
      </c>
      <c r="I25" s="613"/>
      <c r="J25" s="614"/>
    </row>
    <row r="26" spans="1:12" ht="16.2" x14ac:dyDescent="0.3">
      <c r="A26" s="237"/>
      <c r="B26" s="252"/>
      <c r="C26" s="244"/>
      <c r="D26" s="244"/>
      <c r="E26" s="245"/>
      <c r="F26" s="240"/>
      <c r="G26" s="240"/>
      <c r="H26" s="615" t="s">
        <v>154</v>
      </c>
      <c r="I26" t="s">
        <v>230</v>
      </c>
      <c r="J26" s="442"/>
    </row>
    <row r="27" spans="1:12" x14ac:dyDescent="0.3">
      <c r="A27" s="237"/>
      <c r="B27" s="233"/>
      <c r="C27" s="234"/>
      <c r="D27" s="235"/>
      <c r="E27" s="236"/>
      <c r="F27" s="240"/>
      <c r="G27" s="240"/>
      <c r="H27" s="615" t="s">
        <v>150</v>
      </c>
      <c r="I27" t="s">
        <v>231</v>
      </c>
      <c r="J27" s="442"/>
    </row>
    <row r="28" spans="1:12" x14ac:dyDescent="0.3">
      <c r="A28" s="237"/>
      <c r="B28" s="93"/>
      <c r="C28" s="100" t="s">
        <v>232</v>
      </c>
      <c r="D28" s="91">
        <f>SUMIFS(Productenlijst!$O$25:$O$138,Productenlijst!$G$25:$G$138,Resultaat!H35)+SUMIFS(Productenlijst!$O$25:$O$138,Productenlijst!$G$25:$G$138,Resultaat!H36)+SUMIFS(Productenlijst!$O$25:$O$138,Productenlijst!$G$25:$G$138,Resultaat!H37)+SUMIFS(Productenlijst!$O$25:$O$138,Productenlijst!$G$25:$G$138,Resultaat!H38)</f>
        <v>0</v>
      </c>
      <c r="E28" s="92">
        <f>SUMIFS(Productenlijst!$M$25:$M$138,Productenlijst!$G$25:$G$138,Resultaat!H35)+SUMIFS(Productenlijst!$M$25:$M$138,Productenlijst!$G$25:$G$138,Resultaat!H36)+SUMIFS(Productenlijst!$M$25:$M$138,Productenlijst!$G$25:$G$138,Resultaat!H37)+SUMIFS(Productenlijst!$M$25:$M$138,Productenlijst!$G$25:$G$138,Resultaat!H38)</f>
        <v>0</v>
      </c>
      <c r="F28" s="240"/>
      <c r="G28" s="240"/>
      <c r="H28" s="615" t="s">
        <v>155</v>
      </c>
      <c r="I28" t="s">
        <v>155</v>
      </c>
      <c r="J28" s="442"/>
    </row>
    <row r="29" spans="1:12" x14ac:dyDescent="0.3">
      <c r="A29" s="237"/>
      <c r="B29" s="93"/>
      <c r="C29" s="100" t="s">
        <v>155</v>
      </c>
      <c r="D29" s="91">
        <f>SUMIFS(Productenlijst!$O$25:$O$138,Productenlijst!$G$25:$G$138,H28)+(0.5*(SUMIFS(Productenlijst!$O$25:$O$138,Productenlijst!$G$25:$G$138,H39)))+25%*Productenlijst!O20</f>
        <v>0</v>
      </c>
      <c r="E29" s="92">
        <f>SUMIFS(Productenlijst!$M$25:$M$138,Productenlijst!$G$25:$G$138,H28)+(0.5*(SUMIFS(Productenlijst!$M$25:$M$138,Productenlijst!$G$25:$G$138,H39)))+25%*Productenlijst!M20</f>
        <v>0</v>
      </c>
      <c r="F29" s="646"/>
      <c r="G29" s="646"/>
      <c r="H29" s="615" t="s">
        <v>156</v>
      </c>
      <c r="I29" t="s">
        <v>156</v>
      </c>
      <c r="J29" s="442"/>
    </row>
    <row r="30" spans="1:12" x14ac:dyDescent="0.3">
      <c r="A30" s="237"/>
      <c r="B30" s="93"/>
      <c r="C30" s="100" t="s">
        <v>230</v>
      </c>
      <c r="D30" s="91">
        <f>SUMIFS(Productenlijst!$O$25:$O$138,Productenlijst!$G$25:$G$138,H26)+SUMIFS(Productenlijst!$O$25:$O$138,Productenlijst!$G$25:$G$138,H32)</f>
        <v>0</v>
      </c>
      <c r="E30" s="92">
        <f>SUMIFS(Productenlijst!$M$25:$M$138,Productenlijst!$G$25:$G$138,H26)+SUMIFS(Productenlijst!$M$25:$M$138,Productenlijst!$G$25:$G$138,H32)</f>
        <v>0</v>
      </c>
      <c r="F30" s="240"/>
      <c r="G30" s="240"/>
      <c r="H30" s="615" t="s">
        <v>157</v>
      </c>
      <c r="I30" t="s">
        <v>233</v>
      </c>
      <c r="J30" s="442"/>
      <c r="L30" s="602"/>
    </row>
    <row r="31" spans="1:12" x14ac:dyDescent="0.3">
      <c r="B31" s="93"/>
      <c r="C31" s="100" t="s">
        <v>234</v>
      </c>
      <c r="D31" s="91">
        <f>SUMIFS(Productenlijst!$O$25:$O$138,Productenlijst!$G$25:$G$138,H33)+SUMIFS(Productenlijst!$O$25:$O$138,Productenlijst!$G$25:$G$138,H40)+(0.5*(SUMIFS(Productenlijst!$O$25:$O$138,Productenlijst!$G$25:$G$138,H39)))+25%*Productenlijst!O20</f>
        <v>0</v>
      </c>
      <c r="E31" s="92">
        <f>SUMIFS(Productenlijst!$M$25:$M$138,Productenlijst!$G$25:$G$138,H33)+SUMIFS(Productenlijst!$M$25:$M$138,Productenlijst!$G$25:$G$138,H40)+(0.5*(SUMIFS(Productenlijst!$M$25:$M$138,Productenlijst!$G$25:$G$138,H39)))+25%*Productenlijst!M20</f>
        <v>0</v>
      </c>
      <c r="H31" s="615" t="s">
        <v>158</v>
      </c>
      <c r="I31" t="s">
        <v>158</v>
      </c>
      <c r="J31" s="442"/>
      <c r="L31" s="602"/>
    </row>
    <row r="32" spans="1:12" x14ac:dyDescent="0.3">
      <c r="B32" s="93"/>
      <c r="C32" s="100" t="s">
        <v>151</v>
      </c>
      <c r="D32" s="91">
        <f>SUMIFS(Productenlijst!$O$25:$O$138,Productenlijst!$G$25:$G$138,H34)+Productenlijst!O22</f>
        <v>0</v>
      </c>
      <c r="E32" s="92">
        <f>SUMIFS(Productenlijst!$M$25:$M$138,Productenlijst!$G$25:$G$138,H34)+Productenlijst!M22</f>
        <v>0</v>
      </c>
      <c r="H32" s="615" t="s">
        <v>160</v>
      </c>
      <c r="I32" t="s">
        <v>230</v>
      </c>
      <c r="J32" s="442"/>
      <c r="L32" s="602"/>
    </row>
    <row r="33" spans="2:12" x14ac:dyDescent="0.3">
      <c r="B33" s="93"/>
      <c r="C33" s="100" t="s">
        <v>158</v>
      </c>
      <c r="D33" s="91">
        <f>SUMIFS(Productenlijst!$O$25:$O$138,Productenlijst!$G$25:$G$138,H31)</f>
        <v>0</v>
      </c>
      <c r="E33" s="92">
        <f>SUMIFS(Productenlijst!$M$25:$M$138,Productenlijst!$G$25:$G$138,H31)</f>
        <v>0</v>
      </c>
      <c r="H33" s="615" t="s">
        <v>168</v>
      </c>
      <c r="I33" t="s">
        <v>234</v>
      </c>
      <c r="J33" s="442"/>
      <c r="L33" s="602"/>
    </row>
    <row r="34" spans="2:12" x14ac:dyDescent="0.3">
      <c r="B34" s="93"/>
      <c r="C34" s="100" t="s">
        <v>231</v>
      </c>
      <c r="D34" s="91">
        <f>SUMIFS(Productenlijst!$O$25:$O$138,Productenlijst!$G$25:$G$138,H27)+SUMIFS(Productenlijst!$O$25:$O$138,Productenlijst!$G$25:$G$138,H41)+Productenlijst!O21</f>
        <v>0</v>
      </c>
      <c r="E34" s="92">
        <f>SUMIFS(Productenlijst!$M$25:$M$138,Productenlijst!$G$25:$G$138,H27)+SUMIFS(Productenlijst!$M$25:$M$138,Productenlijst!$G$25:$G$138,H41)+Productenlijst!M21</f>
        <v>0</v>
      </c>
      <c r="H34" s="615" t="s">
        <v>151</v>
      </c>
      <c r="I34" t="s">
        <v>151</v>
      </c>
      <c r="J34" s="442"/>
      <c r="L34" s="602"/>
    </row>
    <row r="35" spans="2:12" x14ac:dyDescent="0.3">
      <c r="B35" s="93"/>
      <c r="C35" s="100" t="s">
        <v>156</v>
      </c>
      <c r="D35" s="91">
        <f>SUMIFS(Productenlijst!$O$25:$O$138,Productenlijst!$G$25:$G$138,H29)+25%*Productenlijst!O20</f>
        <v>0</v>
      </c>
      <c r="E35" s="92">
        <f>SUMIFS(Productenlijst!$M$25:$M$138,Productenlijst!$G$25:$G$138,H29)+25%*Productenlijst!M20</f>
        <v>0</v>
      </c>
      <c r="H35" s="615" t="s">
        <v>176</v>
      </c>
      <c r="I35" t="s">
        <v>232</v>
      </c>
      <c r="J35" s="442"/>
      <c r="L35" s="602"/>
    </row>
    <row r="36" spans="2:12" x14ac:dyDescent="0.3">
      <c r="B36" s="93"/>
      <c r="C36" s="100" t="s">
        <v>157</v>
      </c>
      <c r="D36" s="91">
        <f>SUMIFS(Productenlijst!$O$25:$O$138,Productenlijst!$G$25:$G$138,H30)+25%*Productenlijst!O20</f>
        <v>0</v>
      </c>
      <c r="E36" s="92">
        <f>SUMIFS(Productenlijst!$M$25:$M$138,Productenlijst!$G$25:$G$138,H30)+25%*Productenlijst!M20</f>
        <v>0</v>
      </c>
      <c r="H36" s="615" t="s">
        <v>180</v>
      </c>
      <c r="I36" t="s">
        <v>232</v>
      </c>
      <c r="J36" s="442"/>
      <c r="L36" s="602"/>
    </row>
    <row r="37" spans="2:12" ht="15.6" x14ac:dyDescent="0.3">
      <c r="B37" s="93"/>
      <c r="C37" s="101"/>
      <c r="D37" s="86"/>
      <c r="E37" s="87"/>
      <c r="H37" s="615" t="s">
        <v>184</v>
      </c>
      <c r="I37" t="s">
        <v>232</v>
      </c>
      <c r="J37" s="442"/>
      <c r="L37" s="602"/>
    </row>
    <row r="38" spans="2:12" ht="16.2" thickBot="1" x14ac:dyDescent="0.35">
      <c r="B38" s="94"/>
      <c r="C38" s="95" t="s">
        <v>227</v>
      </c>
      <c r="D38" s="618">
        <f>SUM(D28:D36)</f>
        <v>0</v>
      </c>
      <c r="E38" s="619">
        <f>SUM(E28:E36)</f>
        <v>0</v>
      </c>
      <c r="H38" s="615" t="s">
        <v>195</v>
      </c>
      <c r="I38" t="s">
        <v>232</v>
      </c>
      <c r="J38" s="442"/>
      <c r="L38" s="602"/>
    </row>
    <row r="39" spans="2:12" x14ac:dyDescent="0.3">
      <c r="H39" s="615" t="s">
        <v>202</v>
      </c>
      <c r="I39" t="s">
        <v>155</v>
      </c>
      <c r="J39" s="442" t="s">
        <v>234</v>
      </c>
      <c r="L39" s="602"/>
    </row>
    <row r="40" spans="2:12" x14ac:dyDescent="0.3">
      <c r="B40" t="s">
        <v>235</v>
      </c>
      <c r="H40" s="615" t="s">
        <v>207</v>
      </c>
      <c r="I40" t="s">
        <v>234</v>
      </c>
      <c r="J40" s="442"/>
      <c r="L40" s="602"/>
    </row>
    <row r="41" spans="2:12" ht="15" thickBot="1" x14ac:dyDescent="0.35">
      <c r="H41" s="616" t="s">
        <v>216</v>
      </c>
      <c r="I41" s="617" t="s">
        <v>231</v>
      </c>
      <c r="J41" s="450"/>
      <c r="L41" s="602"/>
    </row>
    <row r="42" spans="2:12" x14ac:dyDescent="0.3">
      <c r="L42" s="602"/>
    </row>
    <row r="43" spans="2:12" x14ac:dyDescent="0.3">
      <c r="L43" s="602"/>
    </row>
    <row r="44" spans="2:12" x14ac:dyDescent="0.3">
      <c r="L44" s="602"/>
    </row>
    <row r="45" spans="2:12" x14ac:dyDescent="0.3">
      <c r="L45" s="602"/>
    </row>
    <row r="46" spans="2:12" x14ac:dyDescent="0.3">
      <c r="L46" s="602"/>
    </row>
    <row r="48" spans="2:12" x14ac:dyDescent="0.3">
      <c r="L48" s="601"/>
    </row>
  </sheetData>
  <sheetProtection algorithmName="SHA-512" hashValue="afNjucyrsL+iVOnh5tvQd8CEe/O1qEmPILzbrYI7ghXHZHLHnzvgmDlI6VITNZ35brqGbOoR5tiaTchuQCpqDQ==" saltValue="9xqfGV/Xt4HZt/kk13q5XQ==" spinCount="100000" sheet="1" objects="1" scenarios="1"/>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16A927-5A19-4B0E-8E33-AAB523D09632}">
  <dimension ref="A1:F31"/>
  <sheetViews>
    <sheetView showGridLines="0" zoomScale="120" zoomScaleNormal="120" workbookViewId="0">
      <selection activeCell="D5" sqref="D5"/>
    </sheetView>
  </sheetViews>
  <sheetFormatPr defaultRowHeight="14.4" x14ac:dyDescent="0.3"/>
  <cols>
    <col min="2" max="2" width="3.77734375" customWidth="1"/>
    <col min="3" max="3" width="94" customWidth="1"/>
    <col min="4" max="4" width="16.44140625" customWidth="1"/>
    <col min="5" max="5" width="15.21875" customWidth="1"/>
  </cols>
  <sheetData>
    <row r="1" spans="1:6" ht="15" thickBot="1" x14ac:dyDescent="0.35">
      <c r="A1" s="237"/>
      <c r="B1" s="237"/>
      <c r="C1" s="237"/>
      <c r="D1" s="242"/>
      <c r="E1" s="243"/>
      <c r="F1" s="237"/>
    </row>
    <row r="2" spans="1:6" ht="16.2" x14ac:dyDescent="0.3">
      <c r="A2" s="237"/>
      <c r="B2" s="249" t="str">
        <f>Vragenlijst!B2</f>
        <v>Plankostenregels bij kostenverhaal Met tijdvak</v>
      </c>
      <c r="C2" s="250"/>
      <c r="D2" s="652"/>
      <c r="E2" s="251"/>
      <c r="F2" s="237"/>
    </row>
    <row r="3" spans="1:6" ht="16.2" x14ac:dyDescent="0.3">
      <c r="A3" s="237"/>
      <c r="B3" s="252"/>
      <c r="C3" s="244"/>
      <c r="D3" s="244"/>
      <c r="E3" s="245"/>
      <c r="F3" s="237"/>
    </row>
    <row r="4" spans="1:6" ht="16.8" thickBot="1" x14ac:dyDescent="0.35">
      <c r="A4" s="237"/>
      <c r="B4" s="253" t="s">
        <v>236</v>
      </c>
      <c r="C4" s="254"/>
      <c r="D4" s="254"/>
      <c r="E4" s="255"/>
      <c r="F4" s="237"/>
    </row>
    <row r="5" spans="1:6" x14ac:dyDescent="0.3">
      <c r="B5" s="60"/>
      <c r="C5" s="69" t="s">
        <v>30</v>
      </c>
      <c r="D5" s="96">
        <f ca="1">Vragenlijst!E5</f>
        <v>46210</v>
      </c>
      <c r="E5" s="61"/>
    </row>
    <row r="6" spans="1:6" x14ac:dyDescent="0.3">
      <c r="B6" s="60"/>
      <c r="C6" s="69" t="s">
        <v>31</v>
      </c>
      <c r="D6" s="96" t="str">
        <f>Vragenlijst!E6</f>
        <v>….</v>
      </c>
      <c r="E6" s="61"/>
    </row>
    <row r="7" spans="1:6" x14ac:dyDescent="0.3">
      <c r="B7" s="60"/>
      <c r="C7" s="69" t="s">
        <v>33</v>
      </c>
      <c r="D7" s="96" t="str">
        <f>Vragenlijst!E7</f>
        <v>….</v>
      </c>
      <c r="E7" s="61"/>
    </row>
    <row r="8" spans="1:6" x14ac:dyDescent="0.3">
      <c r="B8" s="60"/>
      <c r="C8" s="69" t="s">
        <v>34</v>
      </c>
      <c r="D8" s="96" t="str">
        <f>Vragenlijst!E8</f>
        <v>….</v>
      </c>
      <c r="E8" s="61"/>
    </row>
    <row r="9" spans="1:6" x14ac:dyDescent="0.3">
      <c r="B9" s="60"/>
      <c r="C9" s="69" t="s">
        <v>237</v>
      </c>
      <c r="D9" s="96" t="str">
        <f>Vragenlijst!E27</f>
        <v>[Selecteer type]</v>
      </c>
      <c r="E9" s="61"/>
    </row>
    <row r="10" spans="1:6" x14ac:dyDescent="0.3">
      <c r="B10" s="60"/>
      <c r="C10" s="69"/>
      <c r="D10" s="96"/>
      <c r="E10" s="61"/>
    </row>
    <row r="11" spans="1:6" x14ac:dyDescent="0.3">
      <c r="B11" s="233"/>
      <c r="C11" s="234"/>
      <c r="D11" s="235"/>
      <c r="E11" s="236"/>
    </row>
    <row r="12" spans="1:6" ht="15.6" x14ac:dyDescent="0.3">
      <c r="B12" s="85"/>
      <c r="C12" s="99" t="s">
        <v>40</v>
      </c>
      <c r="D12" s="88"/>
      <c r="E12" s="89"/>
    </row>
    <row r="13" spans="1:6" ht="15.6" x14ac:dyDescent="0.3">
      <c r="B13" s="85"/>
      <c r="C13" s="99"/>
      <c r="D13" s="88"/>
      <c r="E13" s="89"/>
    </row>
    <row r="14" spans="1:6" x14ac:dyDescent="0.3">
      <c r="B14" s="85"/>
      <c r="C14" s="628" t="s">
        <v>238</v>
      </c>
      <c r="D14" s="88">
        <f>Productenlijst!H130</f>
        <v>0</v>
      </c>
      <c r="E14" s="634" t="s">
        <v>42</v>
      </c>
    </row>
    <row r="15" spans="1:6" x14ac:dyDescent="0.3">
      <c r="B15" s="85"/>
      <c r="C15" s="628" t="s">
        <v>239</v>
      </c>
      <c r="D15" s="88">
        <f>Vragenlijst!E24</f>
        <v>0</v>
      </c>
      <c r="E15" s="634" t="s">
        <v>46</v>
      </c>
    </row>
    <row r="16" spans="1:6" x14ac:dyDescent="0.3">
      <c r="B16" s="85"/>
      <c r="C16" s="628" t="s">
        <v>240</v>
      </c>
      <c r="D16" s="88">
        <f>D15-D17</f>
        <v>0</v>
      </c>
      <c r="E16" s="634" t="s">
        <v>46</v>
      </c>
    </row>
    <row r="17" spans="2:5" x14ac:dyDescent="0.3">
      <c r="B17" s="85"/>
      <c r="C17" s="628" t="s">
        <v>241</v>
      </c>
      <c r="D17" s="88">
        <f>Vragenlijst!E45</f>
        <v>0</v>
      </c>
      <c r="E17" s="634" t="s">
        <v>46</v>
      </c>
    </row>
    <row r="18" spans="2:5" x14ac:dyDescent="0.3">
      <c r="B18" s="85"/>
      <c r="C18" s="629" t="s">
        <v>242</v>
      </c>
      <c r="D18" s="91">
        <f>Vragenlijst!E37</f>
        <v>0</v>
      </c>
      <c r="E18" s="635" t="s">
        <v>243</v>
      </c>
    </row>
    <row r="19" spans="2:5" x14ac:dyDescent="0.3">
      <c r="B19" s="85"/>
      <c r="C19" s="629" t="s">
        <v>244</v>
      </c>
      <c r="D19" s="91">
        <f>Productenlijst!H62</f>
        <v>0</v>
      </c>
      <c r="E19" s="635" t="s">
        <v>243</v>
      </c>
    </row>
    <row r="20" spans="2:5" x14ac:dyDescent="0.3">
      <c r="B20" s="85"/>
      <c r="C20" s="628" t="s">
        <v>245</v>
      </c>
      <c r="D20" s="88">
        <f>D18+D19</f>
        <v>0</v>
      </c>
      <c r="E20" s="634" t="s">
        <v>243</v>
      </c>
    </row>
    <row r="21" spans="2:5" x14ac:dyDescent="0.3">
      <c r="B21" s="85"/>
      <c r="C21" s="628" t="s">
        <v>246</v>
      </c>
      <c r="D21" s="88">
        <f>IF(D14=0,0,D20/D14)</f>
        <v>0</v>
      </c>
      <c r="E21" s="634" t="s">
        <v>247</v>
      </c>
    </row>
    <row r="22" spans="2:5" x14ac:dyDescent="0.3">
      <c r="B22" s="85"/>
      <c r="C22" s="628" t="s">
        <v>248</v>
      </c>
      <c r="D22" s="88">
        <f>Vragenlijst!E42</f>
        <v>0</v>
      </c>
      <c r="E22" s="634" t="s">
        <v>249</v>
      </c>
    </row>
    <row r="23" spans="2:5" x14ac:dyDescent="0.3">
      <c r="B23" s="85"/>
      <c r="C23" s="628" t="s">
        <v>250</v>
      </c>
      <c r="D23" s="88">
        <f>(1+SUM(Productenlijst!D8:D12))*100</f>
        <v>100</v>
      </c>
      <c r="E23" s="634" t="s">
        <v>104</v>
      </c>
    </row>
    <row r="24" spans="2:5" x14ac:dyDescent="0.3">
      <c r="B24" s="626"/>
      <c r="C24" s="627"/>
      <c r="D24" s="624"/>
      <c r="E24" s="625"/>
    </row>
    <row r="25" spans="2:5" x14ac:dyDescent="0.3">
      <c r="B25" s="233"/>
      <c r="C25" s="234"/>
      <c r="D25" s="235"/>
      <c r="E25" s="236"/>
    </row>
    <row r="26" spans="2:5" ht="15.6" x14ac:dyDescent="0.3">
      <c r="B26" s="85"/>
      <c r="C26" s="99" t="s">
        <v>251</v>
      </c>
      <c r="D26" s="88" t="s">
        <v>224</v>
      </c>
      <c r="E26" s="89" t="s">
        <v>225</v>
      </c>
    </row>
    <row r="27" spans="2:5" x14ac:dyDescent="0.3">
      <c r="B27" s="85"/>
      <c r="C27" s="628"/>
      <c r="D27" s="88"/>
      <c r="E27" s="89"/>
    </row>
    <row r="28" spans="2:5" x14ac:dyDescent="0.3">
      <c r="B28" s="85"/>
      <c r="C28" s="628" t="s">
        <v>252</v>
      </c>
      <c r="D28" s="88">
        <f>IF(D20=0,0,Resultaat!D23/Kernoutput!$D$20)</f>
        <v>0</v>
      </c>
      <c r="E28" s="89">
        <f>IF(D20=0,0,Resultaat!E23/Kernoutput!$D$20)</f>
        <v>0</v>
      </c>
    </row>
    <row r="29" spans="2:5" x14ac:dyDescent="0.3">
      <c r="B29" s="85"/>
      <c r="C29" s="628" t="s">
        <v>253</v>
      </c>
      <c r="D29" s="88">
        <f>IF(D14=0,0,Resultaat!D23/$D$14)</f>
        <v>0</v>
      </c>
      <c r="E29" s="89">
        <f>IF(D14=0,0,Resultaat!E23/$D$14)</f>
        <v>0</v>
      </c>
    </row>
    <row r="30" spans="2:5" x14ac:dyDescent="0.3">
      <c r="B30" s="85"/>
      <c r="C30" s="628" t="s">
        <v>254</v>
      </c>
      <c r="D30" s="88"/>
      <c r="E30" s="89">
        <f>IF(Resultaat!D23=0,0,Resultaat!E23/Resultaat!D23)</f>
        <v>0</v>
      </c>
    </row>
    <row r="31" spans="2:5" ht="15" thickBot="1" x14ac:dyDescent="0.35">
      <c r="B31" s="630"/>
      <c r="C31" s="631"/>
      <c r="D31" s="632"/>
      <c r="E31" s="633"/>
    </row>
  </sheetData>
  <sheetProtection algorithmName="SHA-512" hashValue="RW+MIy8nO9Du2rgcRnkTj41mp8oVojhvBFiiBRbjzikt+Wh3XtcHEFjYwFgJau77xKmmp1CB2uTIijid6I0+YA==" saltValue="tClS5B4jtk+fQRYlA6A47w==" spinCount="100000" sheet="1" objects="1" scenarios="1"/>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98E0BF-FB1D-4265-92F9-4909949D38C6}">
  <sheetPr codeName="Blad7">
    <pageSetUpPr fitToPage="1"/>
  </sheetPr>
  <dimension ref="A1:BW131"/>
  <sheetViews>
    <sheetView showGridLines="0" zoomScale="85" zoomScaleNormal="85" workbookViewId="0">
      <selection activeCell="F13" sqref="F13"/>
    </sheetView>
  </sheetViews>
  <sheetFormatPr defaultColWidth="8.77734375" defaultRowHeight="13.2" x14ac:dyDescent="0.25"/>
  <cols>
    <col min="1" max="1" width="1.77734375" style="190" customWidth="1"/>
    <col min="2" max="2" width="1.21875" style="190" customWidth="1"/>
    <col min="3" max="3" width="6.21875" style="241" customWidth="1"/>
    <col min="4" max="4" width="52.77734375" style="241" customWidth="1"/>
    <col min="5" max="5" width="51.21875" style="241" customWidth="1"/>
    <col min="6" max="6" width="20.77734375" style="241" customWidth="1"/>
    <col min="7" max="7" width="2.5546875" style="190" customWidth="1"/>
    <col min="8" max="8" width="18.21875" style="241" customWidth="1"/>
    <col min="9" max="9" width="22.44140625" style="241" customWidth="1"/>
    <col min="10" max="10" width="14.44140625" style="241" customWidth="1"/>
    <col min="11" max="11" width="14.77734375" style="241" customWidth="1"/>
    <col min="12" max="12" width="13.77734375" style="241" customWidth="1"/>
    <col min="13" max="13" width="8" style="241" customWidth="1"/>
    <col min="14" max="14" width="2.21875" style="190" customWidth="1"/>
    <col min="15" max="15" width="7.44140625" style="190" bestFit="1" customWidth="1"/>
    <col min="16" max="16" width="22.5546875" style="241" customWidth="1"/>
    <col min="17" max="17" width="23.21875" style="241" customWidth="1"/>
    <col min="18" max="18" width="14.44140625" style="241" customWidth="1"/>
    <col min="19" max="20" width="16.5546875" style="241" customWidth="1"/>
    <col min="21" max="21" width="5" style="241" customWidth="1"/>
    <col min="22" max="22" width="2.21875" style="190" customWidth="1"/>
    <col min="23" max="23" width="7.44140625" style="190" bestFit="1" customWidth="1"/>
    <col min="24" max="24" width="21.5546875" style="241" bestFit="1" customWidth="1"/>
    <col min="25" max="25" width="23.21875" style="241" customWidth="1"/>
    <col min="26" max="26" width="14.44140625" style="241" customWidth="1"/>
    <col min="27" max="28" width="16.77734375" style="241" customWidth="1"/>
    <col min="29" max="29" width="3.44140625" style="190" customWidth="1"/>
    <col min="30" max="30" width="2.21875" style="190" customWidth="1"/>
    <col min="31" max="31" width="7.44140625" style="190" bestFit="1" customWidth="1"/>
    <col min="32" max="32" width="21.5546875" style="241" bestFit="1" customWidth="1"/>
    <col min="33" max="33" width="23.21875" style="241" customWidth="1"/>
    <col min="34" max="34" width="14.44140625" style="241" customWidth="1"/>
    <col min="35" max="36" width="16.77734375" style="241" customWidth="1"/>
    <col min="37" max="37" width="3.44140625" style="190" customWidth="1"/>
    <col min="38" max="38" width="2.5546875" style="190" customWidth="1"/>
    <col min="39" max="39" width="7.44140625" style="190" bestFit="1" customWidth="1"/>
    <col min="40" max="40" width="21.5546875" style="241" bestFit="1" customWidth="1"/>
    <col min="41" max="41" width="23.21875" style="241" customWidth="1"/>
    <col min="42" max="42" width="14.44140625" style="241" customWidth="1"/>
    <col min="43" max="44" width="16.77734375" style="241" customWidth="1"/>
    <col min="45" max="45" width="3.44140625" style="190" customWidth="1"/>
    <col min="46" max="75" width="8.77734375" style="190"/>
    <col min="76" max="16384" width="8.77734375" style="241"/>
  </cols>
  <sheetData>
    <row r="1" spans="3:45" s="190" customFormat="1" x14ac:dyDescent="0.25"/>
    <row r="2" spans="3:45" s="190" customFormat="1" ht="13.8" thickBot="1" x14ac:dyDescent="0.3"/>
    <row r="3" spans="3:45" ht="28.2" x14ac:dyDescent="0.45">
      <c r="C3" s="544" t="str">
        <f>Vragenlijst!B2</f>
        <v>Plankostenregels bij kostenverhaal Met tijdvak</v>
      </c>
      <c r="D3" s="250"/>
      <c r="E3" s="250"/>
      <c r="F3" s="250"/>
      <c r="G3" s="250"/>
      <c r="H3" s="250"/>
      <c r="I3" s="250"/>
      <c r="J3" s="250"/>
      <c r="K3" s="250"/>
      <c r="L3" s="250"/>
      <c r="M3" s="251"/>
      <c r="N3" s="460"/>
      <c r="O3" s="249"/>
      <c r="P3" s="250"/>
      <c r="Q3" s="250"/>
      <c r="R3" s="250"/>
      <c r="S3" s="250"/>
      <c r="T3" s="250"/>
      <c r="U3" s="251"/>
      <c r="V3" s="460"/>
      <c r="W3" s="249"/>
      <c r="X3" s="250"/>
      <c r="Y3" s="250"/>
      <c r="Z3" s="250"/>
      <c r="AA3" s="250"/>
      <c r="AB3" s="250"/>
      <c r="AC3" s="251"/>
      <c r="AD3" s="460"/>
      <c r="AE3" s="249"/>
      <c r="AF3" s="250"/>
      <c r="AG3" s="250"/>
      <c r="AH3" s="250"/>
      <c r="AI3" s="250"/>
      <c r="AJ3" s="250"/>
      <c r="AK3" s="251"/>
      <c r="AM3" s="249"/>
      <c r="AN3" s="250"/>
      <c r="AO3" s="250"/>
      <c r="AP3" s="250"/>
      <c r="AQ3" s="250"/>
      <c r="AR3" s="250"/>
      <c r="AS3" s="251"/>
    </row>
    <row r="4" spans="3:45" ht="16.2" x14ac:dyDescent="0.3">
      <c r="C4" s="252"/>
      <c r="D4" s="244"/>
      <c r="E4" s="244"/>
      <c r="F4" s="244"/>
      <c r="G4" s="244"/>
      <c r="H4" s="244"/>
      <c r="I4" s="244"/>
      <c r="J4" s="244"/>
      <c r="K4" s="244"/>
      <c r="L4" s="244"/>
      <c r="M4" s="245"/>
      <c r="N4" s="460"/>
      <c r="O4" s="252"/>
      <c r="P4" s="244"/>
      <c r="Q4" s="244"/>
      <c r="R4" s="244"/>
      <c r="S4" s="244"/>
      <c r="T4" s="244"/>
      <c r="U4" s="245"/>
      <c r="V4" s="460"/>
      <c r="W4" s="252"/>
      <c r="X4" s="244"/>
      <c r="Y4" s="244"/>
      <c r="Z4" s="244"/>
      <c r="AA4" s="244"/>
      <c r="AB4" s="244"/>
      <c r="AC4" s="245"/>
      <c r="AD4" s="460"/>
      <c r="AE4" s="252"/>
      <c r="AF4" s="244"/>
      <c r="AG4" s="244"/>
      <c r="AH4" s="244"/>
      <c r="AI4" s="244"/>
      <c r="AJ4" s="244"/>
      <c r="AK4" s="245"/>
      <c r="AM4" s="252"/>
      <c r="AN4" s="244"/>
      <c r="AO4" s="244"/>
      <c r="AP4" s="244"/>
      <c r="AQ4" s="244"/>
      <c r="AR4" s="244"/>
      <c r="AS4" s="245"/>
    </row>
    <row r="5" spans="3:45" ht="16.2" x14ac:dyDescent="0.3">
      <c r="C5" s="252" t="s">
        <v>255</v>
      </c>
      <c r="D5" s="244"/>
      <c r="E5" s="244"/>
      <c r="F5" s="244"/>
      <c r="G5" s="244"/>
      <c r="H5" s="244"/>
      <c r="I5" s="244"/>
      <c r="J5" s="244"/>
      <c r="K5" s="244"/>
      <c r="L5" s="244"/>
      <c r="M5" s="245"/>
      <c r="N5" s="460"/>
      <c r="O5" s="252"/>
      <c r="P5" s="244"/>
      <c r="Q5" s="244"/>
      <c r="R5" s="244"/>
      <c r="S5" s="244"/>
      <c r="T5" s="244"/>
      <c r="U5" s="245"/>
      <c r="V5" s="460"/>
      <c r="W5" s="252"/>
      <c r="X5" s="244"/>
      <c r="Y5" s="244"/>
      <c r="Z5" s="244"/>
      <c r="AA5" s="244"/>
      <c r="AB5" s="244"/>
      <c r="AC5" s="245"/>
      <c r="AD5" s="460"/>
      <c r="AE5" s="252"/>
      <c r="AF5" s="244"/>
      <c r="AG5" s="244"/>
      <c r="AH5" s="244"/>
      <c r="AI5" s="244"/>
      <c r="AJ5" s="244"/>
      <c r="AK5" s="245"/>
      <c r="AM5" s="252"/>
      <c r="AN5" s="244"/>
      <c r="AO5" s="244"/>
      <c r="AP5" s="244"/>
      <c r="AQ5" s="244"/>
      <c r="AR5" s="244"/>
      <c r="AS5" s="245"/>
    </row>
    <row r="6" spans="3:45" ht="16.2" x14ac:dyDescent="0.3">
      <c r="C6" s="252" t="s">
        <v>579</v>
      </c>
      <c r="D6" s="244"/>
      <c r="E6" s="244"/>
      <c r="F6" s="244"/>
      <c r="G6" s="244"/>
      <c r="H6" s="244"/>
      <c r="I6" s="244"/>
      <c r="J6" s="244"/>
      <c r="K6" s="244"/>
      <c r="L6" s="244"/>
      <c r="M6" s="245"/>
      <c r="N6" s="461"/>
      <c r="O6" s="252"/>
      <c r="P6" s="244"/>
      <c r="Q6" s="244"/>
      <c r="R6" s="244"/>
      <c r="S6" s="244"/>
      <c r="T6" s="244"/>
      <c r="U6" s="245"/>
      <c r="V6" s="461"/>
      <c r="W6" s="252"/>
      <c r="X6" s="244"/>
      <c r="Y6" s="244"/>
      <c r="Z6" s="244"/>
      <c r="AA6" s="244"/>
      <c r="AB6" s="244"/>
      <c r="AC6" s="245"/>
      <c r="AD6" s="461"/>
      <c r="AE6" s="252"/>
      <c r="AF6" s="244"/>
      <c r="AG6" s="244"/>
      <c r="AH6" s="244"/>
      <c r="AI6" s="244"/>
      <c r="AJ6" s="244"/>
      <c r="AK6" s="245"/>
      <c r="AM6" s="252"/>
      <c r="AN6" s="244"/>
      <c r="AO6" s="244"/>
      <c r="AP6" s="244"/>
      <c r="AQ6" s="244"/>
      <c r="AR6" s="244"/>
      <c r="AS6" s="245"/>
    </row>
    <row r="7" spans="3:45" ht="16.2" x14ac:dyDescent="0.3">
      <c r="C7" s="252" t="s">
        <v>580</v>
      </c>
      <c r="D7" s="244"/>
      <c r="E7" s="244"/>
      <c r="F7" s="244"/>
      <c r="G7" s="244"/>
      <c r="H7" s="244"/>
      <c r="I7" s="244"/>
      <c r="J7" s="244"/>
      <c r="K7" s="244"/>
      <c r="L7" s="244"/>
      <c r="M7" s="245"/>
      <c r="N7" s="461"/>
      <c r="O7" s="252"/>
      <c r="P7" s="244"/>
      <c r="Q7" s="244"/>
      <c r="R7" s="244"/>
      <c r="S7" s="244"/>
      <c r="T7" s="244"/>
      <c r="U7" s="245"/>
      <c r="V7" s="461"/>
      <c r="W7" s="252"/>
      <c r="X7" s="244"/>
      <c r="Y7" s="244"/>
      <c r="Z7" s="244"/>
      <c r="AA7" s="244"/>
      <c r="AB7" s="244"/>
      <c r="AC7" s="245"/>
      <c r="AD7" s="461"/>
      <c r="AE7" s="252"/>
      <c r="AF7" s="244"/>
      <c r="AG7" s="244"/>
      <c r="AH7" s="244"/>
      <c r="AI7" s="244"/>
      <c r="AJ7" s="244"/>
      <c r="AK7" s="245"/>
      <c r="AM7" s="252"/>
      <c r="AN7" s="244"/>
      <c r="AO7" s="244"/>
      <c r="AP7" s="244"/>
      <c r="AQ7" s="244"/>
      <c r="AR7" s="244"/>
      <c r="AS7" s="245"/>
    </row>
    <row r="8" spans="3:45" x14ac:dyDescent="0.25">
      <c r="C8" s="60"/>
      <c r="D8" s="69" t="s">
        <v>30</v>
      </c>
      <c r="E8" s="69"/>
      <c r="F8" s="96">
        <f ca="1">Vragenlijst!E5</f>
        <v>46210</v>
      </c>
      <c r="G8" s="69"/>
      <c r="H8" s="69"/>
      <c r="I8" s="69"/>
      <c r="J8" s="69"/>
      <c r="K8" s="69"/>
      <c r="L8" s="69"/>
      <c r="M8" s="61"/>
      <c r="N8" s="462"/>
      <c r="O8" s="60"/>
      <c r="P8" s="69"/>
      <c r="Q8" s="69"/>
      <c r="R8" s="69"/>
      <c r="S8" s="69"/>
      <c r="T8" s="69"/>
      <c r="U8" s="61"/>
      <c r="V8" s="462"/>
      <c r="W8" s="60"/>
      <c r="X8" s="69"/>
      <c r="Y8" s="69"/>
      <c r="Z8" s="69"/>
      <c r="AA8" s="69"/>
      <c r="AB8" s="69"/>
      <c r="AC8" s="61"/>
      <c r="AD8" s="462"/>
      <c r="AE8" s="60"/>
      <c r="AF8" s="69"/>
      <c r="AG8" s="69"/>
      <c r="AH8" s="69"/>
      <c r="AI8" s="69"/>
      <c r="AJ8" s="69"/>
      <c r="AK8" s="61"/>
      <c r="AM8" s="60"/>
      <c r="AN8" s="69"/>
      <c r="AO8" s="69"/>
      <c r="AP8" s="69"/>
      <c r="AQ8" s="69"/>
      <c r="AR8" s="69"/>
      <c r="AS8" s="61"/>
    </row>
    <row r="9" spans="3:45" ht="18.600000000000001" customHeight="1" x14ac:dyDescent="0.25">
      <c r="C9" s="60"/>
      <c r="D9" s="69" t="s">
        <v>31</v>
      </c>
      <c r="E9" s="69"/>
      <c r="F9" s="69" t="str">
        <f>Vragenlijst!E6</f>
        <v>….</v>
      </c>
      <c r="G9" s="69"/>
      <c r="H9" s="69"/>
      <c r="I9" s="69"/>
      <c r="J9" s="69"/>
      <c r="K9" s="69"/>
      <c r="L9" s="69"/>
      <c r="M9" s="61"/>
      <c r="N9" s="463"/>
      <c r="O9" s="60"/>
      <c r="P9" s="69"/>
      <c r="Q9" s="69"/>
      <c r="R9" s="69"/>
      <c r="S9" s="69"/>
      <c r="T9" s="69"/>
      <c r="U9" s="61"/>
      <c r="V9" s="463"/>
      <c r="W9" s="60"/>
      <c r="X9" s="69"/>
      <c r="Y9" s="69"/>
      <c r="Z9" s="69"/>
      <c r="AA9" s="69"/>
      <c r="AB9" s="69"/>
      <c r="AC9" s="61"/>
      <c r="AD9" s="463"/>
      <c r="AE9" s="60"/>
      <c r="AF9" s="69"/>
      <c r="AG9" s="69"/>
      <c r="AH9" s="69"/>
      <c r="AI9" s="69"/>
      <c r="AJ9" s="69"/>
      <c r="AK9" s="61"/>
      <c r="AM9" s="60"/>
      <c r="AN9" s="69"/>
      <c r="AO9" s="69"/>
      <c r="AP9" s="69"/>
      <c r="AQ9" s="69"/>
      <c r="AR9" s="69"/>
      <c r="AS9" s="61"/>
    </row>
    <row r="10" spans="3:45" ht="16.05" customHeight="1" x14ac:dyDescent="0.25">
      <c r="C10" s="60"/>
      <c r="D10" s="69" t="s">
        <v>33</v>
      </c>
      <c r="E10" s="69"/>
      <c r="F10" s="69" t="str">
        <f>Vragenlijst!E7</f>
        <v>….</v>
      </c>
      <c r="G10" s="69"/>
      <c r="H10" s="679" t="str">
        <f>IF(F117-L117-T117-AB117-AJ117-AR117&lt;0,"fout, er wordt meer verhaald dan is toegestaan","")</f>
        <v/>
      </c>
      <c r="I10" s="69"/>
      <c r="J10" s="69"/>
      <c r="K10" s="69"/>
      <c r="L10" s="69"/>
      <c r="M10" s="61"/>
      <c r="N10" s="463"/>
      <c r="O10" s="60"/>
      <c r="P10" s="69"/>
      <c r="Q10" s="69"/>
      <c r="R10" s="69"/>
      <c r="S10" s="69"/>
      <c r="T10" s="69"/>
      <c r="U10" s="61"/>
      <c r="V10" s="463"/>
      <c r="W10" s="60"/>
      <c r="X10" s="69"/>
      <c r="Y10" s="69"/>
      <c r="Z10" s="69"/>
      <c r="AA10" s="69"/>
      <c r="AB10" s="69"/>
      <c r="AC10" s="61"/>
      <c r="AD10" s="463"/>
      <c r="AE10" s="60"/>
      <c r="AF10" s="69"/>
      <c r="AG10" s="69"/>
      <c r="AH10" s="69"/>
      <c r="AI10" s="69"/>
      <c r="AJ10" s="69"/>
      <c r="AK10" s="61"/>
      <c r="AM10" s="60"/>
      <c r="AN10" s="69"/>
      <c r="AO10" s="69"/>
      <c r="AP10" s="69"/>
      <c r="AQ10" s="69"/>
      <c r="AR10" s="69"/>
      <c r="AS10" s="61"/>
    </row>
    <row r="11" spans="3:45" x14ac:dyDescent="0.25">
      <c r="C11" s="60"/>
      <c r="D11" s="69" t="s">
        <v>34</v>
      </c>
      <c r="E11" s="69"/>
      <c r="F11" s="69" t="str">
        <f>Vragenlijst!E8</f>
        <v>….</v>
      </c>
      <c r="G11" s="69"/>
      <c r="H11" s="679" t="str">
        <f>IF(F13&lt;&gt;I16+Q16+Y16+AG16+AO16,"het totaal aan opbrengstpotenties in de beschikkingen is niet gelijk aan die de kostenverhaalsgebieden","")</f>
        <v/>
      </c>
      <c r="I11" s="69"/>
      <c r="J11" s="69"/>
      <c r="K11" s="69"/>
      <c r="L11" s="69"/>
      <c r="M11" s="61"/>
      <c r="N11" s="464"/>
      <c r="O11" s="60"/>
      <c r="P11" s="69"/>
      <c r="Q11" s="69"/>
      <c r="R11" s="69"/>
      <c r="S11" s="69"/>
      <c r="T11" s="69"/>
      <c r="U11" s="61"/>
      <c r="V11" s="464"/>
      <c r="W11" s="60"/>
      <c r="X11" s="69"/>
      <c r="Y11" s="69"/>
      <c r="Z11" s="69"/>
      <c r="AA11" s="69"/>
      <c r="AB11" s="69"/>
      <c r="AC11" s="61"/>
      <c r="AD11" s="464"/>
      <c r="AE11" s="60"/>
      <c r="AF11" s="69"/>
      <c r="AG11" s="69"/>
      <c r="AH11" s="69"/>
      <c r="AI11" s="69"/>
      <c r="AJ11" s="69"/>
      <c r="AK11" s="61"/>
      <c r="AM11" s="60"/>
      <c r="AN11" s="69"/>
      <c r="AO11" s="69"/>
      <c r="AP11" s="69"/>
      <c r="AQ11" s="69"/>
      <c r="AR11" s="69"/>
      <c r="AS11" s="61"/>
    </row>
    <row r="12" spans="3:45" x14ac:dyDescent="0.25">
      <c r="C12" s="60"/>
      <c r="D12" s="69"/>
      <c r="E12" s="69"/>
      <c r="F12" s="69"/>
      <c r="G12" s="69"/>
      <c r="H12" s="69"/>
      <c r="I12" s="69"/>
      <c r="J12" s="69"/>
      <c r="K12" s="69"/>
      <c r="L12" s="69"/>
      <c r="M12" s="61"/>
      <c r="N12" s="464"/>
      <c r="O12" s="60"/>
      <c r="P12" s="69"/>
      <c r="Q12" s="69"/>
      <c r="R12" s="69"/>
      <c r="S12" s="69"/>
      <c r="T12" s="69"/>
      <c r="U12" s="61"/>
      <c r="V12" s="464"/>
      <c r="W12" s="60"/>
      <c r="X12" s="69"/>
      <c r="Y12" s="69"/>
      <c r="Z12" s="69"/>
      <c r="AA12" s="69"/>
      <c r="AB12" s="69"/>
      <c r="AC12" s="61"/>
      <c r="AD12" s="464"/>
      <c r="AE12" s="60"/>
      <c r="AF12" s="69"/>
      <c r="AG12" s="69"/>
      <c r="AH12" s="69"/>
      <c r="AI12" s="69"/>
      <c r="AJ12" s="69"/>
      <c r="AK12" s="61"/>
      <c r="AM12" s="60"/>
      <c r="AN12" s="69"/>
      <c r="AO12" s="69"/>
      <c r="AP12" s="69"/>
      <c r="AQ12" s="69"/>
      <c r="AR12" s="69"/>
      <c r="AS12" s="61"/>
    </row>
    <row r="13" spans="3:45" ht="16.2" thickBot="1" x14ac:dyDescent="0.35">
      <c r="C13" s="64"/>
      <c r="D13" s="66"/>
      <c r="E13" s="66" t="s">
        <v>256</v>
      </c>
      <c r="F13" s="465">
        <v>1</v>
      </c>
      <c r="G13" s="66"/>
      <c r="H13" s="680" t="str">
        <f>IF(SUM(I16,Q16,Y16,AG16,AO16)&gt;$F13,"X","")</f>
        <v/>
      </c>
      <c r="I13" s="66"/>
      <c r="J13" s="66"/>
      <c r="K13" s="66"/>
      <c r="L13" s="66"/>
      <c r="M13" s="67"/>
      <c r="N13" s="464"/>
      <c r="O13" s="64"/>
      <c r="P13" s="66"/>
      <c r="Q13" s="66"/>
      <c r="R13" s="66"/>
      <c r="S13" s="66"/>
      <c r="T13" s="66"/>
      <c r="U13" s="67"/>
      <c r="V13" s="464"/>
      <c r="W13" s="64"/>
      <c r="X13" s="66"/>
      <c r="Y13" s="66"/>
      <c r="Z13" s="66"/>
      <c r="AA13" s="66"/>
      <c r="AB13" s="66"/>
      <c r="AC13" s="67"/>
      <c r="AD13" s="464"/>
      <c r="AE13" s="64"/>
      <c r="AF13" s="66"/>
      <c r="AG13" s="66"/>
      <c r="AH13" s="66"/>
      <c r="AI13" s="66"/>
      <c r="AJ13" s="66"/>
      <c r="AK13" s="67"/>
      <c r="AM13" s="64"/>
      <c r="AN13" s="66"/>
      <c r="AO13" s="66"/>
      <c r="AP13" s="66"/>
      <c r="AQ13" s="66"/>
      <c r="AR13" s="66"/>
      <c r="AS13" s="67"/>
    </row>
    <row r="14" spans="3:45" x14ac:dyDescent="0.25">
      <c r="C14" s="473"/>
      <c r="D14" s="475"/>
      <c r="E14" s="475"/>
      <c r="F14" s="474"/>
      <c r="G14" s="466"/>
      <c r="H14" s="60"/>
      <c r="I14" s="69"/>
      <c r="J14" s="69"/>
      <c r="K14" s="69"/>
      <c r="L14" s="69"/>
      <c r="M14" s="61"/>
      <c r="N14" s="466"/>
      <c r="O14" s="530"/>
      <c r="P14" s="531"/>
      <c r="Q14" s="475"/>
      <c r="R14" s="475"/>
      <c r="S14" s="475"/>
      <c r="T14" s="475"/>
      <c r="U14" s="474"/>
      <c r="V14" s="467"/>
      <c r="W14" s="530"/>
      <c r="X14" s="531"/>
      <c r="Y14" s="475"/>
      <c r="Z14" s="475"/>
      <c r="AA14" s="475"/>
      <c r="AB14" s="475"/>
      <c r="AC14" s="474"/>
      <c r="AD14" s="467"/>
      <c r="AE14" s="530"/>
      <c r="AF14" s="531"/>
      <c r="AG14" s="475"/>
      <c r="AH14" s="475"/>
      <c r="AI14" s="475"/>
      <c r="AJ14" s="475"/>
      <c r="AK14" s="474"/>
      <c r="AM14" s="530"/>
      <c r="AN14" s="531"/>
      <c r="AO14" s="475"/>
      <c r="AP14" s="475"/>
      <c r="AQ14" s="475"/>
      <c r="AR14" s="475"/>
      <c r="AS14" s="474"/>
    </row>
    <row r="15" spans="3:45" x14ac:dyDescent="0.25">
      <c r="C15" s="60"/>
      <c r="D15" s="69"/>
      <c r="E15" s="69"/>
      <c r="F15" s="61"/>
      <c r="G15" s="466"/>
      <c r="H15" s="60"/>
      <c r="I15" s="468" t="s">
        <v>257</v>
      </c>
      <c r="J15" s="69" t="s">
        <v>258</v>
      </c>
      <c r="K15" s="69"/>
      <c r="L15" s="69"/>
      <c r="M15" s="61"/>
      <c r="N15" s="466"/>
      <c r="O15" s="532"/>
      <c r="P15" s="533"/>
      <c r="Q15" s="468" t="s">
        <v>257</v>
      </c>
      <c r="R15" s="69" t="s">
        <v>258</v>
      </c>
      <c r="S15" s="69"/>
      <c r="T15" s="69"/>
      <c r="U15" s="61"/>
      <c r="V15" s="466"/>
      <c r="W15" s="532"/>
      <c r="X15" s="533"/>
      <c r="Y15" s="468" t="s">
        <v>257</v>
      </c>
      <c r="Z15" s="69" t="s">
        <v>258</v>
      </c>
      <c r="AA15" s="69"/>
      <c r="AB15" s="69"/>
      <c r="AC15" s="61"/>
      <c r="AD15" s="466"/>
      <c r="AE15" s="532"/>
      <c r="AF15" s="533"/>
      <c r="AG15" s="468" t="s">
        <v>257</v>
      </c>
      <c r="AH15" s="69" t="s">
        <v>258</v>
      </c>
      <c r="AI15" s="69"/>
      <c r="AJ15" s="69"/>
      <c r="AK15" s="61"/>
      <c r="AM15" s="532"/>
      <c r="AN15" s="533"/>
      <c r="AO15" s="468" t="s">
        <v>257</v>
      </c>
      <c r="AP15" s="69" t="s">
        <v>258</v>
      </c>
      <c r="AQ15" s="69"/>
      <c r="AR15" s="69"/>
      <c r="AS15" s="61"/>
    </row>
    <row r="16" spans="3:45" ht="13.8" thickBot="1" x14ac:dyDescent="0.3">
      <c r="C16" s="64"/>
      <c r="D16" s="66"/>
      <c r="E16" s="66"/>
      <c r="F16" s="67"/>
      <c r="G16" s="466"/>
      <c r="H16" s="64"/>
      <c r="I16" s="469">
        <v>1</v>
      </c>
      <c r="J16" s="66" t="s">
        <v>259</v>
      </c>
      <c r="K16" s="66"/>
      <c r="L16" s="680" t="str">
        <f>IF(I16&gt;$F13,"X","")</f>
        <v/>
      </c>
      <c r="M16" s="67"/>
      <c r="N16" s="466"/>
      <c r="O16" s="534"/>
      <c r="P16" s="535"/>
      <c r="Q16" s="469">
        <v>0</v>
      </c>
      <c r="R16" s="66" t="s">
        <v>259</v>
      </c>
      <c r="S16" s="66"/>
      <c r="T16" s="680" t="str">
        <f>IF(Q16&gt;$F13,"X","")</f>
        <v/>
      </c>
      <c r="U16" s="67"/>
      <c r="V16" s="466"/>
      <c r="W16" s="534"/>
      <c r="X16" s="535"/>
      <c r="Y16" s="469">
        <v>0</v>
      </c>
      <c r="Z16" s="66" t="s">
        <v>259</v>
      </c>
      <c r="AA16" s="66"/>
      <c r="AB16" s="680" t="str">
        <f>IF(Y16&gt;$F13,"X","")</f>
        <v/>
      </c>
      <c r="AC16" s="67"/>
      <c r="AD16" s="466"/>
      <c r="AE16" s="534"/>
      <c r="AF16" s="535"/>
      <c r="AG16" s="469">
        <v>0</v>
      </c>
      <c r="AH16" s="66" t="s">
        <v>259</v>
      </c>
      <c r="AI16" s="66"/>
      <c r="AJ16" s="680" t="str">
        <f>IF(AG16&gt;$F13,"X","")</f>
        <v/>
      </c>
      <c r="AK16" s="67"/>
      <c r="AM16" s="534"/>
      <c r="AN16" s="535"/>
      <c r="AO16" s="469">
        <v>0</v>
      </c>
      <c r="AP16" s="66" t="s">
        <v>259</v>
      </c>
      <c r="AQ16" s="66"/>
      <c r="AR16" s="66"/>
      <c r="AS16" s="67"/>
    </row>
    <row r="17" spans="3:45" s="190" customFormat="1" ht="53.4" x14ac:dyDescent="0.3">
      <c r="C17" s="501"/>
      <c r="D17" s="244" t="s">
        <v>260</v>
      </c>
      <c r="E17" s="244"/>
      <c r="F17" s="496"/>
      <c r="H17" s="476" t="s">
        <v>261</v>
      </c>
      <c r="I17" s="477" t="s">
        <v>262</v>
      </c>
      <c r="J17" s="478"/>
      <c r="K17" s="478" t="s">
        <v>263</v>
      </c>
      <c r="L17" s="477" t="s">
        <v>264</v>
      </c>
      <c r="M17" s="479"/>
      <c r="O17" s="536"/>
      <c r="P17" s="478" t="s">
        <v>261</v>
      </c>
      <c r="Q17" s="477" t="s">
        <v>262</v>
      </c>
      <c r="R17" s="478"/>
      <c r="S17" s="478" t="s">
        <v>263</v>
      </c>
      <c r="T17" s="477" t="s">
        <v>264</v>
      </c>
      <c r="U17" s="479"/>
      <c r="W17" s="536"/>
      <c r="X17" s="478" t="s">
        <v>261</v>
      </c>
      <c r="Y17" s="477" t="s">
        <v>262</v>
      </c>
      <c r="Z17" s="478"/>
      <c r="AA17" s="478" t="s">
        <v>263</v>
      </c>
      <c r="AB17" s="477" t="s">
        <v>264</v>
      </c>
      <c r="AC17" s="479"/>
      <c r="AE17" s="536"/>
      <c r="AF17" s="478" t="s">
        <v>261</v>
      </c>
      <c r="AG17" s="477" t="s">
        <v>262</v>
      </c>
      <c r="AH17" s="478"/>
      <c r="AI17" s="478" t="s">
        <v>263</v>
      </c>
      <c r="AJ17" s="477" t="s">
        <v>264</v>
      </c>
      <c r="AK17" s="479"/>
      <c r="AM17" s="536"/>
      <c r="AN17" s="478" t="s">
        <v>261</v>
      </c>
      <c r="AO17" s="477" t="s">
        <v>262</v>
      </c>
      <c r="AP17" s="478"/>
      <c r="AQ17" s="478" t="s">
        <v>263</v>
      </c>
      <c r="AR17" s="477" t="s">
        <v>264</v>
      </c>
      <c r="AS17" s="479"/>
    </row>
    <row r="18" spans="3:45" s="190" customFormat="1" ht="15.6" customHeight="1" x14ac:dyDescent="0.3">
      <c r="C18" s="501"/>
      <c r="D18" s="244"/>
      <c r="E18" s="244"/>
      <c r="F18" s="496"/>
      <c r="H18" s="480">
        <f>I16/F13</f>
        <v>1</v>
      </c>
      <c r="I18" s="481"/>
      <c r="J18" s="482"/>
      <c r="K18" s="483"/>
      <c r="L18" s="484"/>
      <c r="M18" s="485"/>
      <c r="O18" s="537"/>
      <c r="P18" s="538">
        <f>Q16/F13</f>
        <v>0</v>
      </c>
      <c r="Q18" s="481"/>
      <c r="R18" s="482"/>
      <c r="S18" s="483"/>
      <c r="T18" s="484"/>
      <c r="U18" s="485"/>
      <c r="W18" s="537"/>
      <c r="X18" s="538">
        <f>Y16/F13</f>
        <v>0</v>
      </c>
      <c r="Y18" s="481"/>
      <c r="Z18" s="482"/>
      <c r="AA18" s="483"/>
      <c r="AB18" s="484"/>
      <c r="AC18" s="485"/>
      <c r="AE18" s="537"/>
      <c r="AF18" s="538">
        <f>AG16/F13</f>
        <v>0</v>
      </c>
      <c r="AG18" s="481"/>
      <c r="AH18" s="482"/>
      <c r="AI18" s="483"/>
      <c r="AJ18" s="484"/>
      <c r="AK18" s="485"/>
      <c r="AM18" s="537"/>
      <c r="AN18" s="538">
        <f>AO16/F13</f>
        <v>0</v>
      </c>
      <c r="AO18" s="481"/>
      <c r="AP18" s="482"/>
      <c r="AQ18" s="483"/>
      <c r="AR18" s="484"/>
      <c r="AS18" s="485"/>
    </row>
    <row r="19" spans="3:45" s="190" customFormat="1" ht="52.8" x14ac:dyDescent="0.25">
      <c r="C19" s="501"/>
      <c r="D19" s="495"/>
      <c r="E19" s="495"/>
      <c r="F19" s="485" t="s">
        <v>265</v>
      </c>
      <c r="H19" s="486" t="s">
        <v>265</v>
      </c>
      <c r="I19" s="487" t="s">
        <v>266</v>
      </c>
      <c r="J19" s="488" t="s">
        <v>267</v>
      </c>
      <c r="K19" s="489" t="s">
        <v>265</v>
      </c>
      <c r="L19" s="490" t="s">
        <v>265</v>
      </c>
      <c r="M19" s="491"/>
      <c r="O19" s="539" t="s">
        <v>268</v>
      </c>
      <c r="P19" s="489" t="s">
        <v>265</v>
      </c>
      <c r="Q19" s="487" t="s">
        <v>266</v>
      </c>
      <c r="R19" s="488" t="s">
        <v>267</v>
      </c>
      <c r="S19" s="489" t="s">
        <v>265</v>
      </c>
      <c r="T19" s="490" t="s">
        <v>265</v>
      </c>
      <c r="U19" s="491"/>
      <c r="W19" s="539" t="s">
        <v>268</v>
      </c>
      <c r="X19" s="489" t="s">
        <v>265</v>
      </c>
      <c r="Y19" s="487" t="s">
        <v>266</v>
      </c>
      <c r="Z19" s="488" t="s">
        <v>267</v>
      </c>
      <c r="AA19" s="489" t="s">
        <v>265</v>
      </c>
      <c r="AB19" s="490" t="s">
        <v>265</v>
      </c>
      <c r="AC19" s="491"/>
      <c r="AE19" s="539" t="s">
        <v>268</v>
      </c>
      <c r="AF19" s="489" t="s">
        <v>265</v>
      </c>
      <c r="AG19" s="487" t="s">
        <v>266</v>
      </c>
      <c r="AH19" s="488" t="s">
        <v>267</v>
      </c>
      <c r="AI19" s="489" t="s">
        <v>265</v>
      </c>
      <c r="AJ19" s="490" t="s">
        <v>265</v>
      </c>
      <c r="AK19" s="491"/>
      <c r="AM19" s="539" t="s">
        <v>268</v>
      </c>
      <c r="AN19" s="489" t="s">
        <v>265</v>
      </c>
      <c r="AO19" s="487" t="s">
        <v>266</v>
      </c>
      <c r="AP19" s="488" t="s">
        <v>267</v>
      </c>
      <c r="AQ19" s="489" t="s">
        <v>265</v>
      </c>
      <c r="AR19" s="490" t="s">
        <v>265</v>
      </c>
      <c r="AS19" s="491"/>
    </row>
    <row r="20" spans="3:45" s="190" customFormat="1" x14ac:dyDescent="0.25">
      <c r="C20" s="501"/>
      <c r="D20" s="502" t="str">
        <f>Productenlijst!C17</f>
        <v>Omgevingsplan, projectbesluit of omgevingsvergunning voor het kostenverhaalsgebied</v>
      </c>
      <c r="E20" s="495"/>
      <c r="F20" s="485"/>
      <c r="H20" s="492"/>
      <c r="I20" s="493"/>
      <c r="J20" s="494"/>
      <c r="K20" s="494"/>
      <c r="L20" s="495"/>
      <c r="M20" s="496"/>
      <c r="O20" s="537"/>
      <c r="P20" s="540"/>
      <c r="Q20" s="493"/>
      <c r="R20" s="494"/>
      <c r="S20" s="494"/>
      <c r="T20" s="495"/>
      <c r="U20" s="496"/>
      <c r="W20" s="537"/>
      <c r="X20" s="540"/>
      <c r="Y20" s="493"/>
      <c r="Z20" s="494"/>
      <c r="AA20" s="494"/>
      <c r="AB20" s="495"/>
      <c r="AC20" s="496"/>
      <c r="AE20" s="537"/>
      <c r="AF20" s="540"/>
      <c r="AG20" s="493"/>
      <c r="AH20" s="494"/>
      <c r="AI20" s="494"/>
      <c r="AJ20" s="495"/>
      <c r="AK20" s="496"/>
      <c r="AM20" s="537"/>
      <c r="AN20" s="540"/>
      <c r="AO20" s="493"/>
      <c r="AP20" s="494"/>
      <c r="AQ20" s="494"/>
      <c r="AR20" s="495"/>
      <c r="AS20" s="496"/>
    </row>
    <row r="21" spans="3:45" s="190" customFormat="1" x14ac:dyDescent="0.25">
      <c r="C21" s="501" t="s">
        <v>144</v>
      </c>
      <c r="D21" s="495" t="str">
        <f>Productenlijst!C19</f>
        <v>Opstellen van een scenario t.b.v. vaststellen kostenplafond bij organische gebiedsontwikkeling</v>
      </c>
      <c r="E21" s="495"/>
      <c r="F21" s="504">
        <f>SUM(F22:F24)</f>
        <v>0</v>
      </c>
      <c r="H21" s="660">
        <f>SUM(H22:H24)</f>
        <v>0</v>
      </c>
      <c r="I21" s="493"/>
      <c r="J21" s="494"/>
      <c r="K21" s="494">
        <f>SUM(K22:K24)</f>
        <v>0</v>
      </c>
      <c r="L21" s="661">
        <f>SUM(L22:L24)</f>
        <v>0</v>
      </c>
      <c r="M21" s="496"/>
      <c r="O21" s="537" t="s">
        <v>144</v>
      </c>
      <c r="P21" s="662">
        <f>SUM(P22:P24)</f>
        <v>0</v>
      </c>
      <c r="Q21" s="493"/>
      <c r="R21" s="494"/>
      <c r="S21" s="494">
        <f>SUM(S22:S24)</f>
        <v>0</v>
      </c>
      <c r="T21" s="661">
        <f>SUM(T22:T24)</f>
        <v>0</v>
      </c>
      <c r="U21" s="496"/>
      <c r="W21" s="537" t="s">
        <v>144</v>
      </c>
      <c r="X21" s="664">
        <f>SUM(X22:X24)</f>
        <v>0</v>
      </c>
      <c r="Y21" s="493"/>
      <c r="Z21" s="494"/>
      <c r="AA21" s="494">
        <f>SUM(AA22:AA24)</f>
        <v>0</v>
      </c>
      <c r="AB21" s="661">
        <f>SUM(AB22:AB24)</f>
        <v>0</v>
      </c>
      <c r="AC21" s="496"/>
      <c r="AE21" s="537" t="s">
        <v>144</v>
      </c>
      <c r="AF21" s="664">
        <f>SUM(AF22:AF24)</f>
        <v>0</v>
      </c>
      <c r="AG21" s="493"/>
      <c r="AH21" s="494"/>
      <c r="AI21" s="665">
        <f>SUM(AI22:AI24)</f>
        <v>0</v>
      </c>
      <c r="AJ21" s="665">
        <f>SUM(AJ22:AJ24)</f>
        <v>0</v>
      </c>
      <c r="AK21" s="496"/>
      <c r="AM21" s="537" t="s">
        <v>144</v>
      </c>
      <c r="AN21" s="664">
        <f>SUM(AN22:AN24)</f>
        <v>0</v>
      </c>
      <c r="AO21" s="493"/>
      <c r="AP21" s="494"/>
      <c r="AQ21" s="665">
        <f>SUM(AQ22:AQ24)</f>
        <v>0</v>
      </c>
      <c r="AR21" s="665">
        <f>SUM(AR22:AR24)</f>
        <v>0</v>
      </c>
      <c r="AS21" s="496"/>
    </row>
    <row r="22" spans="3:45" s="190" customFormat="1" x14ac:dyDescent="0.25">
      <c r="C22" s="501"/>
      <c r="D22" s="505" t="str">
        <f>Productenlijst!E20</f>
        <v>Opstellen scenario</v>
      </c>
      <c r="E22" s="506" t="str">
        <f>Productenlijst!G20</f>
        <v>Stedenbouw, Civiele techniek, Beleidsafdelingen &amp; Planeconomie</v>
      </c>
      <c r="F22" s="659">
        <f>Productenlijst!M20</f>
        <v>0</v>
      </c>
      <c r="H22" s="518">
        <f>F22*$H$18</f>
        <v>0</v>
      </c>
      <c r="I22" s="472">
        <v>0</v>
      </c>
      <c r="J22" s="521" t="s">
        <v>269</v>
      </c>
      <c r="K22" s="522">
        <f>I22*H22</f>
        <v>0</v>
      </c>
      <c r="L22" s="523">
        <f>H22-K22</f>
        <v>0</v>
      </c>
      <c r="M22" s="524" t="str">
        <f>IF(I22&gt;60%,"X","")</f>
        <v/>
      </c>
      <c r="O22" s="541" t="s">
        <v>270</v>
      </c>
      <c r="P22" s="522">
        <f>F22*$P$18</f>
        <v>0</v>
      </c>
      <c r="Q22" s="472">
        <v>0</v>
      </c>
      <c r="R22" s="521" t="s">
        <v>269</v>
      </c>
      <c r="S22" s="522">
        <f>Q22*P22</f>
        <v>0</v>
      </c>
      <c r="T22" s="523">
        <f>P22-S22</f>
        <v>0</v>
      </c>
      <c r="U22" s="524" t="str">
        <f>IF(Q22&gt;60%,"X","")</f>
        <v/>
      </c>
      <c r="W22" s="541" t="s">
        <v>270</v>
      </c>
      <c r="X22" s="522">
        <f t="shared" ref="X22:X24" si="0">F22*$X$18</f>
        <v>0</v>
      </c>
      <c r="Y22" s="472">
        <v>0</v>
      </c>
      <c r="Z22" s="521" t="s">
        <v>269</v>
      </c>
      <c r="AA22" s="522">
        <f>Y22*X22</f>
        <v>0</v>
      </c>
      <c r="AB22" s="523">
        <f>X22-AA22</f>
        <v>0</v>
      </c>
      <c r="AC22" s="524" t="str">
        <f>IF(Y22&gt;60%,"X","")</f>
        <v/>
      </c>
      <c r="AE22" s="541" t="s">
        <v>270</v>
      </c>
      <c r="AF22" s="522">
        <f t="shared" ref="AF22:AF24" si="1">F22*$AF$18</f>
        <v>0</v>
      </c>
      <c r="AG22" s="472">
        <v>0</v>
      </c>
      <c r="AH22" s="521" t="s">
        <v>269</v>
      </c>
      <c r="AI22" s="522">
        <f>AG22*AF22</f>
        <v>0</v>
      </c>
      <c r="AJ22" s="523">
        <f>AF22-AI22</f>
        <v>0</v>
      </c>
      <c r="AK22" s="524" t="str">
        <f>IF(AG22&gt;60%,"X","")</f>
        <v/>
      </c>
      <c r="AM22" s="541" t="s">
        <v>270</v>
      </c>
      <c r="AN22" s="522">
        <f t="shared" ref="AN22:AN24" si="2">F22*$AN$18</f>
        <v>0</v>
      </c>
      <c r="AO22" s="472">
        <v>0</v>
      </c>
      <c r="AP22" s="521" t="s">
        <v>269</v>
      </c>
      <c r="AQ22" s="522">
        <f>AO22*AN22</f>
        <v>0</v>
      </c>
      <c r="AR22" s="523">
        <f>AN22-AQ22</f>
        <v>0</v>
      </c>
      <c r="AS22" s="524" t="str">
        <f>IF(AO22&gt;60%,"X","")</f>
        <v/>
      </c>
    </row>
    <row r="23" spans="3:45" s="190" customFormat="1" x14ac:dyDescent="0.25">
      <c r="C23" s="501"/>
      <c r="D23" s="502"/>
      <c r="E23" s="506" t="str">
        <f>Productenlijst!G21</f>
        <v>Projectmanagement</v>
      </c>
      <c r="F23" s="659">
        <f>Productenlijst!M21</f>
        <v>0</v>
      </c>
      <c r="H23" s="518">
        <f t="shared" ref="H23:H24" si="3">F23*$H$18</f>
        <v>0</v>
      </c>
      <c r="I23" s="472">
        <v>0</v>
      </c>
      <c r="J23" s="521" t="s">
        <v>269</v>
      </c>
      <c r="K23" s="522">
        <f t="shared" ref="K23:K24" si="4">I23*H23</f>
        <v>0</v>
      </c>
      <c r="L23" s="523">
        <f>H23-K23</f>
        <v>0</v>
      </c>
      <c r="M23" s="524" t="str">
        <f>IF(I23&gt;60%,"X","")</f>
        <v/>
      </c>
      <c r="O23" s="541" t="s">
        <v>271</v>
      </c>
      <c r="P23" s="522">
        <f t="shared" ref="P23:P24" si="5">F23*$P$18</f>
        <v>0</v>
      </c>
      <c r="Q23" s="472">
        <v>0</v>
      </c>
      <c r="R23" s="521" t="s">
        <v>269</v>
      </c>
      <c r="S23" s="522">
        <f>Q23*P23</f>
        <v>0</v>
      </c>
      <c r="T23" s="523">
        <f t="shared" ref="T23:T24" si="6">P23-S23</f>
        <v>0</v>
      </c>
      <c r="U23" s="524" t="str">
        <f>IF(Q23&gt;60%,"X","")</f>
        <v/>
      </c>
      <c r="W23" s="541" t="s">
        <v>271</v>
      </c>
      <c r="X23" s="522">
        <f t="shared" si="0"/>
        <v>0</v>
      </c>
      <c r="Y23" s="472">
        <v>0</v>
      </c>
      <c r="Z23" s="521" t="s">
        <v>269</v>
      </c>
      <c r="AA23" s="522">
        <f t="shared" ref="AA23:AA24" si="7">Y23*X23</f>
        <v>0</v>
      </c>
      <c r="AB23" s="523">
        <f t="shared" ref="AB23:AB24" si="8">X23-AA23</f>
        <v>0</v>
      </c>
      <c r="AC23" s="524" t="str">
        <f>IF(Y23&gt;60%,"X","")</f>
        <v/>
      </c>
      <c r="AE23" s="541" t="s">
        <v>271</v>
      </c>
      <c r="AF23" s="522">
        <f t="shared" si="1"/>
        <v>0</v>
      </c>
      <c r="AG23" s="472">
        <v>0</v>
      </c>
      <c r="AH23" s="521" t="s">
        <v>269</v>
      </c>
      <c r="AI23" s="522">
        <f t="shared" ref="AI23:AI24" si="9">AG23*AF23</f>
        <v>0</v>
      </c>
      <c r="AJ23" s="523">
        <f t="shared" ref="AJ23:AJ24" si="10">AF23-AI23</f>
        <v>0</v>
      </c>
      <c r="AK23" s="524" t="str">
        <f>IF(AG23&gt;60%,"X","")</f>
        <v/>
      </c>
      <c r="AM23" s="541" t="s">
        <v>271</v>
      </c>
      <c r="AN23" s="522">
        <f t="shared" si="2"/>
        <v>0</v>
      </c>
      <c r="AO23" s="472">
        <v>0</v>
      </c>
      <c r="AP23" s="521" t="s">
        <v>269</v>
      </c>
      <c r="AQ23" s="522">
        <f t="shared" ref="AQ23:AQ24" si="11">AO23*AN23</f>
        <v>0</v>
      </c>
      <c r="AR23" s="523">
        <f t="shared" ref="AR23:AR24" si="12">AN23-AQ23</f>
        <v>0</v>
      </c>
      <c r="AS23" s="524" t="str">
        <f>IF(AO23&gt;60%,"X","")</f>
        <v/>
      </c>
    </row>
    <row r="24" spans="3:45" s="190" customFormat="1" x14ac:dyDescent="0.25">
      <c r="C24" s="501"/>
      <c r="D24" s="502"/>
      <c r="E24" s="506" t="str">
        <f>Productenlijst!G22</f>
        <v>Landmeten/vastgoedinformatie</v>
      </c>
      <c r="F24" s="659">
        <f>Productenlijst!M22</f>
        <v>0</v>
      </c>
      <c r="H24" s="518">
        <f t="shared" si="3"/>
        <v>0</v>
      </c>
      <c r="I24" s="472">
        <v>0</v>
      </c>
      <c r="J24" s="521" t="s">
        <v>269</v>
      </c>
      <c r="K24" s="522">
        <f t="shared" si="4"/>
        <v>0</v>
      </c>
      <c r="L24" s="523">
        <f>H24-K24</f>
        <v>0</v>
      </c>
      <c r="M24" s="524" t="str">
        <f>IF(I24&gt;60%,"X","")</f>
        <v/>
      </c>
      <c r="O24" s="541" t="s">
        <v>272</v>
      </c>
      <c r="P24" s="522">
        <f t="shared" si="5"/>
        <v>0</v>
      </c>
      <c r="Q24" s="472">
        <v>0</v>
      </c>
      <c r="R24" s="521" t="s">
        <v>269</v>
      </c>
      <c r="S24" s="522">
        <f>Q24*P24</f>
        <v>0</v>
      </c>
      <c r="T24" s="523">
        <f t="shared" si="6"/>
        <v>0</v>
      </c>
      <c r="U24" s="524" t="str">
        <f>IF(Q24&gt;60%,"X","")</f>
        <v/>
      </c>
      <c r="W24" s="541" t="s">
        <v>272</v>
      </c>
      <c r="X24" s="522">
        <f t="shared" si="0"/>
        <v>0</v>
      </c>
      <c r="Y24" s="472">
        <v>0</v>
      </c>
      <c r="Z24" s="521" t="s">
        <v>269</v>
      </c>
      <c r="AA24" s="522">
        <f t="shared" si="7"/>
        <v>0</v>
      </c>
      <c r="AB24" s="523">
        <f t="shared" si="8"/>
        <v>0</v>
      </c>
      <c r="AC24" s="524" t="str">
        <f>IF(Y24&gt;60%,"X","")</f>
        <v/>
      </c>
      <c r="AE24" s="541" t="s">
        <v>272</v>
      </c>
      <c r="AF24" s="522">
        <f t="shared" si="1"/>
        <v>0</v>
      </c>
      <c r="AG24" s="472">
        <v>0</v>
      </c>
      <c r="AH24" s="521" t="s">
        <v>269</v>
      </c>
      <c r="AI24" s="522">
        <f t="shared" si="9"/>
        <v>0</v>
      </c>
      <c r="AJ24" s="523">
        <f t="shared" si="10"/>
        <v>0</v>
      </c>
      <c r="AK24" s="524" t="str">
        <f>IF(AG24&gt;60%,"X","")</f>
        <v/>
      </c>
      <c r="AM24" s="541" t="s">
        <v>272</v>
      </c>
      <c r="AN24" s="522">
        <f t="shared" si="2"/>
        <v>0</v>
      </c>
      <c r="AO24" s="472">
        <v>0</v>
      </c>
      <c r="AP24" s="521" t="s">
        <v>269</v>
      </c>
      <c r="AQ24" s="522">
        <f t="shared" si="11"/>
        <v>0</v>
      </c>
      <c r="AR24" s="523">
        <f t="shared" si="12"/>
        <v>0</v>
      </c>
      <c r="AS24" s="524" t="str">
        <f>IF(AO24&gt;60%,"X","")</f>
        <v/>
      </c>
    </row>
    <row r="25" spans="3:45" s="190" customFormat="1" x14ac:dyDescent="0.25">
      <c r="C25" s="501"/>
      <c r="D25" s="502"/>
      <c r="E25" s="495"/>
      <c r="F25" s="485"/>
      <c r="H25" s="492"/>
      <c r="I25" s="493"/>
      <c r="J25" s="494"/>
      <c r="K25" s="494"/>
      <c r="L25" s="495"/>
      <c r="M25" s="496"/>
      <c r="O25" s="537"/>
      <c r="P25" s="540"/>
      <c r="Q25" s="493"/>
      <c r="R25" s="494"/>
      <c r="S25" s="494"/>
      <c r="T25" s="495"/>
      <c r="U25" s="496"/>
      <c r="W25" s="537"/>
      <c r="X25" s="540"/>
      <c r="Y25" s="493"/>
      <c r="Z25" s="494"/>
      <c r="AA25" s="494"/>
      <c r="AB25" s="495"/>
      <c r="AC25" s="496"/>
      <c r="AE25" s="537"/>
      <c r="AF25" s="540"/>
      <c r="AG25" s="493"/>
      <c r="AH25" s="494"/>
      <c r="AI25" s="494"/>
      <c r="AJ25" s="495"/>
      <c r="AK25" s="496"/>
      <c r="AM25" s="537"/>
      <c r="AN25" s="540"/>
      <c r="AO25" s="493"/>
      <c r="AP25" s="494"/>
      <c r="AQ25" s="494"/>
      <c r="AR25" s="495"/>
      <c r="AS25" s="496"/>
    </row>
    <row r="26" spans="3:45" s="190" customFormat="1" x14ac:dyDescent="0.25">
      <c r="C26" s="501"/>
      <c r="D26" s="502"/>
      <c r="E26" s="495"/>
      <c r="F26" s="485"/>
      <c r="H26" s="492"/>
      <c r="I26" s="493"/>
      <c r="J26" s="494"/>
      <c r="K26" s="494"/>
      <c r="L26" s="495"/>
      <c r="M26" s="496"/>
      <c r="O26" s="537"/>
      <c r="P26" s="540"/>
      <c r="Q26" s="493"/>
      <c r="R26" s="494"/>
      <c r="S26" s="494"/>
      <c r="T26" s="495"/>
      <c r="U26" s="496"/>
      <c r="W26" s="537"/>
      <c r="X26" s="540"/>
      <c r="Y26" s="493"/>
      <c r="Z26" s="494"/>
      <c r="AA26" s="494"/>
      <c r="AB26" s="495"/>
      <c r="AC26" s="496"/>
      <c r="AE26" s="537"/>
      <c r="AF26" s="540"/>
      <c r="AG26" s="493"/>
      <c r="AH26" s="494"/>
      <c r="AI26" s="494"/>
      <c r="AJ26" s="495"/>
      <c r="AK26" s="496"/>
      <c r="AM26" s="537"/>
      <c r="AN26" s="540"/>
      <c r="AO26" s="493"/>
      <c r="AP26" s="494"/>
      <c r="AQ26" s="494"/>
      <c r="AR26" s="495"/>
      <c r="AS26" s="496"/>
    </row>
    <row r="27" spans="3:45" s="190" customFormat="1" x14ac:dyDescent="0.25">
      <c r="C27" s="501"/>
      <c r="D27" s="503" t="str">
        <f>Productenlijst!C24</f>
        <v>A. Opstellen en vaststellen gedetailleerd omgevingsplan</v>
      </c>
      <c r="E27" s="495"/>
      <c r="F27" s="504">
        <f>SUM(F28:F33)</f>
        <v>0</v>
      </c>
      <c r="G27" s="470"/>
      <c r="H27" s="497">
        <f>SUM(H28:H33)</f>
        <v>0</v>
      </c>
      <c r="I27" s="495"/>
      <c r="J27" s="498"/>
      <c r="K27" s="499">
        <f>SUM(K28:K33)</f>
        <v>0</v>
      </c>
      <c r="L27" s="500">
        <f>SUM(L28:L33)</f>
        <v>0</v>
      </c>
      <c r="M27" s="496"/>
      <c r="O27" s="537" t="s">
        <v>273</v>
      </c>
      <c r="P27" s="499">
        <f>SUM(P28:P33)</f>
        <v>0</v>
      </c>
      <c r="Q27" s="495"/>
      <c r="R27" s="498"/>
      <c r="S27" s="499">
        <f>SUM(S28:S33)</f>
        <v>0</v>
      </c>
      <c r="T27" s="500">
        <f>SUM(T28:T33)</f>
        <v>0</v>
      </c>
      <c r="U27" s="496"/>
      <c r="W27" s="537" t="s">
        <v>273</v>
      </c>
      <c r="X27" s="499">
        <f>SUM(X28:X33)</f>
        <v>0</v>
      </c>
      <c r="Y27" s="495"/>
      <c r="Z27" s="498"/>
      <c r="AA27" s="499">
        <f>SUM(AA28:AA33)</f>
        <v>0</v>
      </c>
      <c r="AB27" s="500">
        <f>SUM(AB28:AB33)</f>
        <v>0</v>
      </c>
      <c r="AC27" s="496"/>
      <c r="AE27" s="537" t="s">
        <v>273</v>
      </c>
      <c r="AF27" s="499">
        <f>SUM(AF28:AF33)</f>
        <v>0</v>
      </c>
      <c r="AG27" s="495"/>
      <c r="AH27" s="498"/>
      <c r="AI27" s="499">
        <f>SUM(AI28:AI33)</f>
        <v>0</v>
      </c>
      <c r="AJ27" s="500">
        <f>SUM(AJ28:AJ33)</f>
        <v>0</v>
      </c>
      <c r="AK27" s="496"/>
      <c r="AM27" s="537" t="s">
        <v>273</v>
      </c>
      <c r="AN27" s="499">
        <f>SUM(AN28:AN33)</f>
        <v>0</v>
      </c>
      <c r="AO27" s="495"/>
      <c r="AP27" s="498"/>
      <c r="AQ27" s="499">
        <f>SUM(AQ28:AQ33)</f>
        <v>0</v>
      </c>
      <c r="AR27" s="500">
        <f>SUM(AR28:AR33)</f>
        <v>0</v>
      </c>
      <c r="AS27" s="496"/>
    </row>
    <row r="28" spans="3:45" s="190" customFormat="1" x14ac:dyDescent="0.25">
      <c r="C28" s="501"/>
      <c r="D28" s="505" t="str">
        <f>Productenlijst!E25</f>
        <v>Opstellen en vaststellen omgevingsplan</v>
      </c>
      <c r="E28" s="506" t="s">
        <v>154</v>
      </c>
      <c r="F28" s="507">
        <f>Productenlijst!M25</f>
        <v>0</v>
      </c>
      <c r="G28" s="471"/>
      <c r="H28" s="518">
        <f>F28*$H$18</f>
        <v>0</v>
      </c>
      <c r="I28" s="472">
        <v>0</v>
      </c>
      <c r="J28" s="521" t="s">
        <v>269</v>
      </c>
      <c r="K28" s="522">
        <f>I28*H28</f>
        <v>0</v>
      </c>
      <c r="L28" s="523">
        <f>H28-K28</f>
        <v>0</v>
      </c>
      <c r="M28" s="524" t="str">
        <f t="shared" ref="M28:M29" si="13">IF(I28&gt;60%,"X","")</f>
        <v/>
      </c>
      <c r="O28" s="541" t="s">
        <v>274</v>
      </c>
      <c r="P28" s="522">
        <f>F28*$P$18</f>
        <v>0</v>
      </c>
      <c r="Q28" s="472">
        <v>0</v>
      </c>
      <c r="R28" s="521" t="s">
        <v>269</v>
      </c>
      <c r="S28" s="522">
        <f>Q28*P28</f>
        <v>0</v>
      </c>
      <c r="T28" s="523">
        <f>P28-S28</f>
        <v>0</v>
      </c>
      <c r="U28" s="524" t="str">
        <f t="shared" ref="U28:U29" si="14">IF(Q28&gt;60%,"X","")</f>
        <v/>
      </c>
      <c r="W28" s="541" t="s">
        <v>274</v>
      </c>
      <c r="X28" s="522">
        <f t="shared" ref="X28:X33" si="15">F28*$X$18</f>
        <v>0</v>
      </c>
      <c r="Y28" s="472">
        <v>0</v>
      </c>
      <c r="Z28" s="521" t="s">
        <v>269</v>
      </c>
      <c r="AA28" s="522">
        <f>Y28*X28</f>
        <v>0</v>
      </c>
      <c r="AB28" s="523">
        <f>X28-AA28</f>
        <v>0</v>
      </c>
      <c r="AC28" s="524" t="str">
        <f t="shared" ref="AC28:AC29" si="16">IF(Y28&gt;60%,"X","")</f>
        <v/>
      </c>
      <c r="AE28" s="541" t="s">
        <v>274</v>
      </c>
      <c r="AF28" s="522">
        <f t="shared" ref="AF28:AF33" si="17">F28*$AF$18</f>
        <v>0</v>
      </c>
      <c r="AG28" s="472">
        <v>0</v>
      </c>
      <c r="AH28" s="521" t="s">
        <v>269</v>
      </c>
      <c r="AI28" s="522">
        <f>AG28*AF28</f>
        <v>0</v>
      </c>
      <c r="AJ28" s="523">
        <f>AF28-AI28</f>
        <v>0</v>
      </c>
      <c r="AK28" s="524" t="str">
        <f t="shared" ref="AK28:AK29" si="18">IF(AG28&gt;60%,"X","")</f>
        <v/>
      </c>
      <c r="AM28" s="541" t="s">
        <v>274</v>
      </c>
      <c r="AN28" s="522">
        <f t="shared" ref="AN28:AN33" si="19">F28*$AN$18</f>
        <v>0</v>
      </c>
      <c r="AO28" s="472">
        <v>0</v>
      </c>
      <c r="AP28" s="521" t="s">
        <v>269</v>
      </c>
      <c r="AQ28" s="522">
        <f>AO28*AN28</f>
        <v>0</v>
      </c>
      <c r="AR28" s="523">
        <f>AN28-AQ28</f>
        <v>0</v>
      </c>
      <c r="AS28" s="524" t="str">
        <f t="shared" ref="AS28:AS29" si="20">IF(AO28&gt;60%,"X","")</f>
        <v/>
      </c>
    </row>
    <row r="29" spans="3:45" s="190" customFormat="1" x14ac:dyDescent="0.25">
      <c r="C29" s="501"/>
      <c r="D29" s="508"/>
      <c r="E29" s="506" t="s">
        <v>150</v>
      </c>
      <c r="F29" s="507">
        <f>Productenlijst!M26</f>
        <v>0</v>
      </c>
      <c r="G29" s="471"/>
      <c r="H29" s="518">
        <f t="shared" ref="H29:H33" si="21">F29*$H$18</f>
        <v>0</v>
      </c>
      <c r="I29" s="472">
        <v>0</v>
      </c>
      <c r="J29" s="521" t="s">
        <v>269</v>
      </c>
      <c r="K29" s="522">
        <f t="shared" ref="K29:K37" si="22">I29*H29</f>
        <v>0</v>
      </c>
      <c r="L29" s="523">
        <f t="shared" ref="L29:L37" si="23">H29-K29</f>
        <v>0</v>
      </c>
      <c r="M29" s="524" t="str">
        <f t="shared" si="13"/>
        <v/>
      </c>
      <c r="O29" s="541" t="s">
        <v>271</v>
      </c>
      <c r="P29" s="522">
        <f t="shared" ref="P29:P33" si="24">F29*$P$18</f>
        <v>0</v>
      </c>
      <c r="Q29" s="472">
        <v>0</v>
      </c>
      <c r="R29" s="521" t="s">
        <v>269</v>
      </c>
      <c r="S29" s="522">
        <f t="shared" ref="S29:S33" si="25">Q29*P29</f>
        <v>0</v>
      </c>
      <c r="T29" s="523">
        <f t="shared" ref="T29:T33" si="26">P29-S29</f>
        <v>0</v>
      </c>
      <c r="U29" s="524" t="str">
        <f t="shared" si="14"/>
        <v/>
      </c>
      <c r="W29" s="541" t="s">
        <v>271</v>
      </c>
      <c r="X29" s="522">
        <f t="shared" si="15"/>
        <v>0</v>
      </c>
      <c r="Y29" s="472">
        <v>0</v>
      </c>
      <c r="Z29" s="521" t="s">
        <v>269</v>
      </c>
      <c r="AA29" s="522">
        <f t="shared" ref="AA29:AA33" si="27">Y29*X29</f>
        <v>0</v>
      </c>
      <c r="AB29" s="523">
        <f t="shared" ref="AB29:AB33" si="28">X29-AA29</f>
        <v>0</v>
      </c>
      <c r="AC29" s="524" t="str">
        <f t="shared" si="16"/>
        <v/>
      </c>
      <c r="AE29" s="541" t="s">
        <v>271</v>
      </c>
      <c r="AF29" s="522">
        <f t="shared" si="17"/>
        <v>0</v>
      </c>
      <c r="AG29" s="472">
        <v>0</v>
      </c>
      <c r="AH29" s="521" t="s">
        <v>269</v>
      </c>
      <c r="AI29" s="522">
        <f t="shared" ref="AI29:AI33" si="29">AG29*AF29</f>
        <v>0</v>
      </c>
      <c r="AJ29" s="523">
        <f t="shared" ref="AJ29:AJ33" si="30">AF29-AI29</f>
        <v>0</v>
      </c>
      <c r="AK29" s="524" t="str">
        <f t="shared" si="18"/>
        <v/>
      </c>
      <c r="AM29" s="541" t="s">
        <v>271</v>
      </c>
      <c r="AN29" s="522">
        <f t="shared" si="19"/>
        <v>0</v>
      </c>
      <c r="AO29" s="472">
        <v>0</v>
      </c>
      <c r="AP29" s="521" t="s">
        <v>269</v>
      </c>
      <c r="AQ29" s="522">
        <f t="shared" ref="AQ29:AQ33" si="31">AO29*AN29</f>
        <v>0</v>
      </c>
      <c r="AR29" s="523">
        <f t="shared" ref="AR29:AR33" si="32">AN29-AQ29</f>
        <v>0</v>
      </c>
      <c r="AS29" s="524" t="str">
        <f t="shared" si="20"/>
        <v/>
      </c>
    </row>
    <row r="30" spans="3:45" s="190" customFormat="1" x14ac:dyDescent="0.25">
      <c r="C30" s="501"/>
      <c r="D30" s="508"/>
      <c r="E30" s="506" t="s">
        <v>155</v>
      </c>
      <c r="F30" s="507">
        <f>Productenlijst!M27</f>
        <v>0</v>
      </c>
      <c r="G30" s="471"/>
      <c r="H30" s="518">
        <f t="shared" si="21"/>
        <v>0</v>
      </c>
      <c r="I30" s="472">
        <v>0</v>
      </c>
      <c r="J30" s="521" t="s">
        <v>269</v>
      </c>
      <c r="K30" s="522">
        <f t="shared" si="22"/>
        <v>0</v>
      </c>
      <c r="L30" s="523">
        <f t="shared" si="23"/>
        <v>0</v>
      </c>
      <c r="M30" s="524" t="str">
        <f>IF(I30&gt;60%,"X","")</f>
        <v/>
      </c>
      <c r="O30" s="541" t="s">
        <v>275</v>
      </c>
      <c r="P30" s="522">
        <f t="shared" si="24"/>
        <v>0</v>
      </c>
      <c r="Q30" s="472">
        <v>0</v>
      </c>
      <c r="R30" s="521" t="s">
        <v>269</v>
      </c>
      <c r="S30" s="522">
        <f t="shared" si="25"/>
        <v>0</v>
      </c>
      <c r="T30" s="523">
        <f t="shared" si="26"/>
        <v>0</v>
      </c>
      <c r="U30" s="524" t="str">
        <f>IF(Q30&gt;60%,"X","")</f>
        <v/>
      </c>
      <c r="W30" s="541" t="s">
        <v>275</v>
      </c>
      <c r="X30" s="522">
        <f t="shared" si="15"/>
        <v>0</v>
      </c>
      <c r="Y30" s="472">
        <v>0</v>
      </c>
      <c r="Z30" s="521" t="s">
        <v>269</v>
      </c>
      <c r="AA30" s="522">
        <f t="shared" si="27"/>
        <v>0</v>
      </c>
      <c r="AB30" s="523">
        <f t="shared" si="28"/>
        <v>0</v>
      </c>
      <c r="AC30" s="524" t="str">
        <f>IF(Y30&gt;60%,"X","")</f>
        <v/>
      </c>
      <c r="AE30" s="541" t="s">
        <v>275</v>
      </c>
      <c r="AF30" s="522">
        <f t="shared" si="17"/>
        <v>0</v>
      </c>
      <c r="AG30" s="472">
        <v>0</v>
      </c>
      <c r="AH30" s="521" t="s">
        <v>269</v>
      </c>
      <c r="AI30" s="522">
        <f t="shared" si="29"/>
        <v>0</v>
      </c>
      <c r="AJ30" s="523">
        <f t="shared" si="30"/>
        <v>0</v>
      </c>
      <c r="AK30" s="524" t="str">
        <f>IF(AG30&gt;60%,"X","")</f>
        <v/>
      </c>
      <c r="AM30" s="541" t="s">
        <v>275</v>
      </c>
      <c r="AN30" s="522">
        <f t="shared" si="19"/>
        <v>0</v>
      </c>
      <c r="AO30" s="472">
        <v>0</v>
      </c>
      <c r="AP30" s="521" t="s">
        <v>269</v>
      </c>
      <c r="AQ30" s="522">
        <f t="shared" si="31"/>
        <v>0</v>
      </c>
      <c r="AR30" s="523">
        <f t="shared" si="32"/>
        <v>0</v>
      </c>
      <c r="AS30" s="524" t="str">
        <f>IF(AO30&gt;60%,"X","")</f>
        <v/>
      </c>
    </row>
    <row r="31" spans="3:45" s="190" customFormat="1" x14ac:dyDescent="0.25">
      <c r="C31" s="501"/>
      <c r="D31" s="508"/>
      <c r="E31" s="506" t="s">
        <v>156</v>
      </c>
      <c r="F31" s="507">
        <f>Productenlijst!M28</f>
        <v>0</v>
      </c>
      <c r="G31" s="471"/>
      <c r="H31" s="518">
        <f t="shared" si="21"/>
        <v>0</v>
      </c>
      <c r="I31" s="472">
        <v>0</v>
      </c>
      <c r="J31" s="521" t="s">
        <v>269</v>
      </c>
      <c r="K31" s="522">
        <f t="shared" si="22"/>
        <v>0</v>
      </c>
      <c r="L31" s="523">
        <f t="shared" si="23"/>
        <v>0</v>
      </c>
      <c r="M31" s="524" t="str">
        <f t="shared" ref="M31:M37" si="33">IF(I31&gt;60%,"X","")</f>
        <v/>
      </c>
      <c r="O31" s="541" t="s">
        <v>276</v>
      </c>
      <c r="P31" s="522">
        <f t="shared" si="24"/>
        <v>0</v>
      </c>
      <c r="Q31" s="472">
        <v>0</v>
      </c>
      <c r="R31" s="521" t="s">
        <v>269</v>
      </c>
      <c r="S31" s="522">
        <f t="shared" si="25"/>
        <v>0</v>
      </c>
      <c r="T31" s="523">
        <f t="shared" si="26"/>
        <v>0</v>
      </c>
      <c r="U31" s="524" t="str">
        <f t="shared" ref="U31:U33" si="34">IF(Q31&gt;60%,"X","")</f>
        <v/>
      </c>
      <c r="W31" s="541" t="s">
        <v>276</v>
      </c>
      <c r="X31" s="522">
        <f t="shared" si="15"/>
        <v>0</v>
      </c>
      <c r="Y31" s="472">
        <v>0</v>
      </c>
      <c r="Z31" s="521" t="s">
        <v>269</v>
      </c>
      <c r="AA31" s="522">
        <f t="shared" si="27"/>
        <v>0</v>
      </c>
      <c r="AB31" s="523">
        <f t="shared" si="28"/>
        <v>0</v>
      </c>
      <c r="AC31" s="524" t="str">
        <f t="shared" ref="AC31:AC33" si="35">IF(Y31&gt;60%,"X","")</f>
        <v/>
      </c>
      <c r="AE31" s="541" t="s">
        <v>276</v>
      </c>
      <c r="AF31" s="522">
        <f t="shared" si="17"/>
        <v>0</v>
      </c>
      <c r="AG31" s="472">
        <v>0</v>
      </c>
      <c r="AH31" s="521" t="s">
        <v>269</v>
      </c>
      <c r="AI31" s="522">
        <f t="shared" si="29"/>
        <v>0</v>
      </c>
      <c r="AJ31" s="523">
        <f t="shared" si="30"/>
        <v>0</v>
      </c>
      <c r="AK31" s="524" t="str">
        <f t="shared" ref="AK31:AK33" si="36">IF(AG31&gt;60%,"X","")</f>
        <v/>
      </c>
      <c r="AM31" s="541" t="s">
        <v>276</v>
      </c>
      <c r="AN31" s="522">
        <f t="shared" si="19"/>
        <v>0</v>
      </c>
      <c r="AO31" s="472">
        <v>0</v>
      </c>
      <c r="AP31" s="521" t="s">
        <v>269</v>
      </c>
      <c r="AQ31" s="522">
        <f t="shared" si="31"/>
        <v>0</v>
      </c>
      <c r="AR31" s="523">
        <f t="shared" si="32"/>
        <v>0</v>
      </c>
      <c r="AS31" s="524" t="str">
        <f t="shared" ref="AS31:AS33" si="37">IF(AO31&gt;60%,"X","")</f>
        <v/>
      </c>
    </row>
    <row r="32" spans="3:45" s="190" customFormat="1" x14ac:dyDescent="0.25">
      <c r="C32" s="501"/>
      <c r="D32" s="508"/>
      <c r="E32" s="506" t="s">
        <v>157</v>
      </c>
      <c r="F32" s="507">
        <f>Productenlijst!M29</f>
        <v>0</v>
      </c>
      <c r="G32" s="471"/>
      <c r="H32" s="518">
        <f t="shared" si="21"/>
        <v>0</v>
      </c>
      <c r="I32" s="472">
        <v>0</v>
      </c>
      <c r="J32" s="521" t="s">
        <v>269</v>
      </c>
      <c r="K32" s="522">
        <f t="shared" si="22"/>
        <v>0</v>
      </c>
      <c r="L32" s="523">
        <f t="shared" si="23"/>
        <v>0</v>
      </c>
      <c r="M32" s="524" t="str">
        <f t="shared" si="33"/>
        <v/>
      </c>
      <c r="O32" s="541" t="s">
        <v>277</v>
      </c>
      <c r="P32" s="522">
        <f t="shared" si="24"/>
        <v>0</v>
      </c>
      <c r="Q32" s="472">
        <v>0</v>
      </c>
      <c r="R32" s="521" t="s">
        <v>269</v>
      </c>
      <c r="S32" s="522">
        <f t="shared" si="25"/>
        <v>0</v>
      </c>
      <c r="T32" s="523">
        <f t="shared" si="26"/>
        <v>0</v>
      </c>
      <c r="U32" s="524" t="str">
        <f t="shared" si="34"/>
        <v/>
      </c>
      <c r="W32" s="541" t="s">
        <v>277</v>
      </c>
      <c r="X32" s="522">
        <f t="shared" si="15"/>
        <v>0</v>
      </c>
      <c r="Y32" s="472">
        <v>0</v>
      </c>
      <c r="Z32" s="521" t="s">
        <v>269</v>
      </c>
      <c r="AA32" s="522">
        <f t="shared" si="27"/>
        <v>0</v>
      </c>
      <c r="AB32" s="523">
        <f t="shared" si="28"/>
        <v>0</v>
      </c>
      <c r="AC32" s="524" t="str">
        <f t="shared" si="35"/>
        <v/>
      </c>
      <c r="AE32" s="541" t="s">
        <v>277</v>
      </c>
      <c r="AF32" s="522">
        <f t="shared" si="17"/>
        <v>0</v>
      </c>
      <c r="AG32" s="472">
        <v>0</v>
      </c>
      <c r="AH32" s="521" t="s">
        <v>269</v>
      </c>
      <c r="AI32" s="522">
        <f t="shared" si="29"/>
        <v>0</v>
      </c>
      <c r="AJ32" s="523">
        <f t="shared" si="30"/>
        <v>0</v>
      </c>
      <c r="AK32" s="524" t="str">
        <f t="shared" si="36"/>
        <v/>
      </c>
      <c r="AM32" s="541" t="s">
        <v>277</v>
      </c>
      <c r="AN32" s="522">
        <f t="shared" si="19"/>
        <v>0</v>
      </c>
      <c r="AO32" s="472">
        <v>0</v>
      </c>
      <c r="AP32" s="521" t="s">
        <v>269</v>
      </c>
      <c r="AQ32" s="522">
        <f t="shared" si="31"/>
        <v>0</v>
      </c>
      <c r="AR32" s="523">
        <f t="shared" si="32"/>
        <v>0</v>
      </c>
      <c r="AS32" s="524" t="str">
        <f t="shared" si="37"/>
        <v/>
      </c>
    </row>
    <row r="33" spans="3:45" s="190" customFormat="1" x14ac:dyDescent="0.25">
      <c r="C33" s="501"/>
      <c r="D33" s="508"/>
      <c r="E33" s="506" t="s">
        <v>158</v>
      </c>
      <c r="F33" s="507">
        <f>Productenlijst!M30</f>
        <v>0</v>
      </c>
      <c r="G33" s="471"/>
      <c r="H33" s="518">
        <f t="shared" si="21"/>
        <v>0</v>
      </c>
      <c r="I33" s="472">
        <v>0</v>
      </c>
      <c r="J33" s="521" t="s">
        <v>269</v>
      </c>
      <c r="K33" s="522">
        <f t="shared" si="22"/>
        <v>0</v>
      </c>
      <c r="L33" s="523">
        <f t="shared" si="23"/>
        <v>0</v>
      </c>
      <c r="M33" s="524" t="str">
        <f t="shared" si="33"/>
        <v/>
      </c>
      <c r="O33" s="541" t="s">
        <v>278</v>
      </c>
      <c r="P33" s="522">
        <f t="shared" si="24"/>
        <v>0</v>
      </c>
      <c r="Q33" s="472">
        <v>0</v>
      </c>
      <c r="R33" s="521" t="s">
        <v>269</v>
      </c>
      <c r="S33" s="522">
        <f t="shared" si="25"/>
        <v>0</v>
      </c>
      <c r="T33" s="523">
        <f t="shared" si="26"/>
        <v>0</v>
      </c>
      <c r="U33" s="524" t="str">
        <f t="shared" si="34"/>
        <v/>
      </c>
      <c r="W33" s="541" t="s">
        <v>278</v>
      </c>
      <c r="X33" s="522">
        <f t="shared" si="15"/>
        <v>0</v>
      </c>
      <c r="Y33" s="472">
        <v>0</v>
      </c>
      <c r="Z33" s="521" t="s">
        <v>269</v>
      </c>
      <c r="AA33" s="522">
        <f t="shared" si="27"/>
        <v>0</v>
      </c>
      <c r="AB33" s="523">
        <f t="shared" si="28"/>
        <v>0</v>
      </c>
      <c r="AC33" s="524" t="str">
        <f t="shared" si="35"/>
        <v/>
      </c>
      <c r="AE33" s="541" t="s">
        <v>278</v>
      </c>
      <c r="AF33" s="522">
        <f t="shared" si="17"/>
        <v>0</v>
      </c>
      <c r="AG33" s="472">
        <v>0</v>
      </c>
      <c r="AH33" s="521" t="s">
        <v>269</v>
      </c>
      <c r="AI33" s="522">
        <f t="shared" si="29"/>
        <v>0</v>
      </c>
      <c r="AJ33" s="523">
        <f t="shared" si="30"/>
        <v>0</v>
      </c>
      <c r="AK33" s="524" t="str">
        <f t="shared" si="36"/>
        <v/>
      </c>
      <c r="AM33" s="541" t="s">
        <v>278</v>
      </c>
      <c r="AN33" s="522">
        <f t="shared" si="19"/>
        <v>0</v>
      </c>
      <c r="AO33" s="472">
        <v>0</v>
      </c>
      <c r="AP33" s="521" t="s">
        <v>269</v>
      </c>
      <c r="AQ33" s="522">
        <f t="shared" si="31"/>
        <v>0</v>
      </c>
      <c r="AR33" s="523">
        <f t="shared" si="32"/>
        <v>0</v>
      </c>
      <c r="AS33" s="524" t="str">
        <f t="shared" si="37"/>
        <v/>
      </c>
    </row>
    <row r="34" spans="3:45" s="190" customFormat="1" x14ac:dyDescent="0.25">
      <c r="C34" s="501"/>
      <c r="D34" s="508"/>
      <c r="E34" s="495"/>
      <c r="F34" s="507"/>
      <c r="G34" s="471"/>
      <c r="H34" s="518"/>
      <c r="I34" s="529"/>
      <c r="J34" s="521"/>
      <c r="K34" s="522"/>
      <c r="L34" s="523"/>
      <c r="M34" s="524"/>
      <c r="O34" s="537"/>
      <c r="P34" s="522"/>
      <c r="Q34" s="529"/>
      <c r="R34" s="521"/>
      <c r="S34" s="522"/>
      <c r="T34" s="523"/>
      <c r="U34" s="524"/>
      <c r="W34" s="537"/>
      <c r="X34" s="522"/>
      <c r="Y34" s="529"/>
      <c r="Z34" s="521"/>
      <c r="AA34" s="522"/>
      <c r="AB34" s="523"/>
      <c r="AC34" s="524"/>
      <c r="AE34" s="537"/>
      <c r="AF34" s="522"/>
      <c r="AG34" s="529"/>
      <c r="AH34" s="521"/>
      <c r="AI34" s="522"/>
      <c r="AJ34" s="523"/>
      <c r="AK34" s="524"/>
      <c r="AM34" s="537"/>
      <c r="AN34" s="522"/>
      <c r="AO34" s="529"/>
      <c r="AP34" s="521"/>
      <c r="AQ34" s="522"/>
      <c r="AR34" s="523"/>
      <c r="AS34" s="524"/>
    </row>
    <row r="35" spans="3:45" s="190" customFormat="1" x14ac:dyDescent="0.25">
      <c r="C35" s="501"/>
      <c r="D35" s="508"/>
      <c r="E35" s="495"/>
      <c r="F35" s="504">
        <f>SUM(F36:F37)</f>
        <v>0</v>
      </c>
      <c r="G35" s="471"/>
      <c r="H35" s="497">
        <f>SUM(H36:H37)</f>
        <v>0</v>
      </c>
      <c r="I35" s="529"/>
      <c r="J35" s="521"/>
      <c r="K35" s="499">
        <f>SUM(K36:K37)</f>
        <v>0</v>
      </c>
      <c r="L35" s="500">
        <f>SUM(L36:L37)</f>
        <v>0</v>
      </c>
      <c r="M35" s="524"/>
      <c r="O35" s="537"/>
      <c r="P35" s="499">
        <f>SUM(P36:P37)</f>
        <v>0</v>
      </c>
      <c r="Q35" s="529"/>
      <c r="R35" s="521"/>
      <c r="S35" s="499">
        <f>SUM(S36:S37)</f>
        <v>0</v>
      </c>
      <c r="T35" s="500">
        <f>SUM(T36:T37)</f>
        <v>0</v>
      </c>
      <c r="U35" s="524"/>
      <c r="W35" s="537"/>
      <c r="X35" s="499">
        <f>SUM(X36:X37)</f>
        <v>0</v>
      </c>
      <c r="Y35" s="529"/>
      <c r="Z35" s="521"/>
      <c r="AA35" s="499">
        <f>SUM(AA36:AA37)</f>
        <v>0</v>
      </c>
      <c r="AB35" s="500">
        <f>SUM(AB36:AB37)</f>
        <v>0</v>
      </c>
      <c r="AC35" s="524"/>
      <c r="AE35" s="537"/>
      <c r="AF35" s="499">
        <f>SUM(AF36:AF37)</f>
        <v>0</v>
      </c>
      <c r="AG35" s="529"/>
      <c r="AH35" s="521"/>
      <c r="AI35" s="499">
        <f>SUM(AI36:AI37)</f>
        <v>0</v>
      </c>
      <c r="AJ35" s="500">
        <f>SUM(AJ36:AJ37)</f>
        <v>0</v>
      </c>
      <c r="AK35" s="524"/>
      <c r="AM35" s="537"/>
      <c r="AN35" s="499">
        <f>SUM(AN36:AN37)</f>
        <v>0</v>
      </c>
      <c r="AO35" s="529"/>
      <c r="AP35" s="521"/>
      <c r="AQ35" s="499">
        <f>SUM(AQ36:AQ37)</f>
        <v>0</v>
      </c>
      <c r="AR35" s="500">
        <f>SUM(AR36:AR37)</f>
        <v>0</v>
      </c>
      <c r="AS35" s="524"/>
    </row>
    <row r="36" spans="3:45" s="190" customFormat="1" x14ac:dyDescent="0.25">
      <c r="C36" s="501"/>
      <c r="D36" s="505" t="str">
        <f>Productenlijst!E33</f>
        <v>Opstellen regels kostenverhaal</v>
      </c>
      <c r="E36" s="506" t="s">
        <v>160</v>
      </c>
      <c r="F36" s="507">
        <f>Productenlijst!M33</f>
        <v>0</v>
      </c>
      <c r="G36" s="471"/>
      <c r="H36" s="518">
        <f>F36*$H$18</f>
        <v>0</v>
      </c>
      <c r="I36" s="472">
        <v>0</v>
      </c>
      <c r="J36" s="521" t="s">
        <v>269</v>
      </c>
      <c r="K36" s="522">
        <f t="shared" si="22"/>
        <v>0</v>
      </c>
      <c r="L36" s="523">
        <f t="shared" si="23"/>
        <v>0</v>
      </c>
      <c r="M36" s="524" t="str">
        <f t="shared" si="33"/>
        <v/>
      </c>
      <c r="O36" s="541" t="s">
        <v>279</v>
      </c>
      <c r="P36" s="522">
        <f>F36*$P$18</f>
        <v>0</v>
      </c>
      <c r="Q36" s="472">
        <v>0</v>
      </c>
      <c r="R36" s="521" t="s">
        <v>269</v>
      </c>
      <c r="S36" s="522">
        <f t="shared" ref="S36:S37" si="38">Q36*P36</f>
        <v>0</v>
      </c>
      <c r="T36" s="523">
        <f t="shared" ref="T36:T37" si="39">P36-S36</f>
        <v>0</v>
      </c>
      <c r="U36" s="524" t="str">
        <f t="shared" ref="U36:U37" si="40">IF(Q36&gt;60%,"X","")</f>
        <v/>
      </c>
      <c r="W36" s="541" t="s">
        <v>279</v>
      </c>
      <c r="X36" s="522">
        <f>F36*$X$18</f>
        <v>0</v>
      </c>
      <c r="Y36" s="472">
        <v>0</v>
      </c>
      <c r="Z36" s="521" t="s">
        <v>269</v>
      </c>
      <c r="AA36" s="522">
        <f t="shared" ref="AA36:AA37" si="41">Y36*X36</f>
        <v>0</v>
      </c>
      <c r="AB36" s="523">
        <f t="shared" ref="AB36:AB37" si="42">X36-AA36</f>
        <v>0</v>
      </c>
      <c r="AC36" s="524" t="str">
        <f t="shared" ref="AC36:AC37" si="43">IF(Y36&gt;60%,"X","")</f>
        <v/>
      </c>
      <c r="AE36" s="541" t="s">
        <v>279</v>
      </c>
      <c r="AF36" s="522">
        <f>F36*$AF$18</f>
        <v>0</v>
      </c>
      <c r="AG36" s="472">
        <v>0</v>
      </c>
      <c r="AH36" s="521" t="s">
        <v>269</v>
      </c>
      <c r="AI36" s="522">
        <f t="shared" ref="AI36:AI37" si="44">AG36*AF36</f>
        <v>0</v>
      </c>
      <c r="AJ36" s="523">
        <f t="shared" ref="AJ36:AJ37" si="45">AF36-AI36</f>
        <v>0</v>
      </c>
      <c r="AK36" s="524" t="str">
        <f t="shared" ref="AK36:AK37" si="46">IF(AG36&gt;60%,"X","")</f>
        <v/>
      </c>
      <c r="AM36" s="541" t="s">
        <v>279</v>
      </c>
      <c r="AN36" s="522">
        <f>F36*$AN$18</f>
        <v>0</v>
      </c>
      <c r="AO36" s="472">
        <v>0</v>
      </c>
      <c r="AP36" s="521" t="s">
        <v>269</v>
      </c>
      <c r="AQ36" s="522">
        <f t="shared" ref="AQ36:AQ37" si="47">AO36*AN36</f>
        <v>0</v>
      </c>
      <c r="AR36" s="523">
        <f t="shared" ref="AR36:AR37" si="48">AN36-AQ36</f>
        <v>0</v>
      </c>
      <c r="AS36" s="524" t="str">
        <f t="shared" ref="AS36:AS37" si="49">IF(AO36&gt;60%,"X","")</f>
        <v/>
      </c>
    </row>
    <row r="37" spans="3:45" s="190" customFormat="1" x14ac:dyDescent="0.25">
      <c r="C37" s="501"/>
      <c r="D37" s="509"/>
      <c r="E37" s="506" t="s">
        <v>150</v>
      </c>
      <c r="F37" s="507">
        <f>Productenlijst!M34</f>
        <v>0</v>
      </c>
      <c r="G37" s="471"/>
      <c r="H37" s="518">
        <f>F37*$H$18</f>
        <v>0</v>
      </c>
      <c r="I37" s="472">
        <v>0</v>
      </c>
      <c r="J37" s="521" t="s">
        <v>269</v>
      </c>
      <c r="K37" s="522">
        <f t="shared" si="22"/>
        <v>0</v>
      </c>
      <c r="L37" s="523">
        <f t="shared" si="23"/>
        <v>0</v>
      </c>
      <c r="M37" s="524" t="str">
        <f t="shared" si="33"/>
        <v/>
      </c>
      <c r="O37" s="541" t="s">
        <v>271</v>
      </c>
      <c r="P37" s="522">
        <f>F37*$P$18</f>
        <v>0</v>
      </c>
      <c r="Q37" s="472">
        <v>0</v>
      </c>
      <c r="R37" s="521" t="s">
        <v>269</v>
      </c>
      <c r="S37" s="522">
        <f t="shared" si="38"/>
        <v>0</v>
      </c>
      <c r="T37" s="523">
        <f t="shared" si="39"/>
        <v>0</v>
      </c>
      <c r="U37" s="524" t="str">
        <f t="shared" si="40"/>
        <v/>
      </c>
      <c r="W37" s="541" t="s">
        <v>271</v>
      </c>
      <c r="X37" s="522">
        <f>F37*$X$18</f>
        <v>0</v>
      </c>
      <c r="Y37" s="472">
        <v>0</v>
      </c>
      <c r="Z37" s="521" t="s">
        <v>269</v>
      </c>
      <c r="AA37" s="522">
        <f t="shared" si="41"/>
        <v>0</v>
      </c>
      <c r="AB37" s="523">
        <f t="shared" si="42"/>
        <v>0</v>
      </c>
      <c r="AC37" s="524" t="str">
        <f t="shared" si="43"/>
        <v/>
      </c>
      <c r="AE37" s="541" t="s">
        <v>271</v>
      </c>
      <c r="AF37" s="522">
        <f>F37*$AF$18</f>
        <v>0</v>
      </c>
      <c r="AG37" s="472">
        <v>0</v>
      </c>
      <c r="AH37" s="521" t="s">
        <v>269</v>
      </c>
      <c r="AI37" s="522">
        <f t="shared" si="44"/>
        <v>0</v>
      </c>
      <c r="AJ37" s="523">
        <f t="shared" si="45"/>
        <v>0</v>
      </c>
      <c r="AK37" s="524" t="str">
        <f t="shared" si="46"/>
        <v/>
      </c>
      <c r="AM37" s="541" t="s">
        <v>271</v>
      </c>
      <c r="AN37" s="522">
        <f>F37*$AN$18</f>
        <v>0</v>
      </c>
      <c r="AO37" s="472">
        <v>0</v>
      </c>
      <c r="AP37" s="521" t="s">
        <v>269</v>
      </c>
      <c r="AQ37" s="522">
        <f t="shared" si="47"/>
        <v>0</v>
      </c>
      <c r="AR37" s="523">
        <f t="shared" si="48"/>
        <v>0</v>
      </c>
      <c r="AS37" s="524" t="str">
        <f t="shared" si="49"/>
        <v/>
      </c>
    </row>
    <row r="38" spans="3:45" s="190" customFormat="1" x14ac:dyDescent="0.25">
      <c r="C38" s="501"/>
      <c r="D38" s="510"/>
      <c r="E38" s="506"/>
      <c r="F38" s="507"/>
      <c r="G38" s="471"/>
      <c r="H38" s="518"/>
      <c r="I38" s="495"/>
      <c r="J38" s="498"/>
      <c r="K38" s="522"/>
      <c r="L38" s="523"/>
      <c r="M38" s="496"/>
      <c r="O38" s="541"/>
      <c r="P38" s="522"/>
      <c r="Q38" s="495"/>
      <c r="R38" s="498"/>
      <c r="S38" s="522"/>
      <c r="T38" s="523"/>
      <c r="U38" s="496"/>
      <c r="W38" s="541"/>
      <c r="X38" s="522"/>
      <c r="Y38" s="495"/>
      <c r="Z38" s="498"/>
      <c r="AA38" s="522"/>
      <c r="AB38" s="523"/>
      <c r="AC38" s="496"/>
      <c r="AE38" s="541"/>
      <c r="AF38" s="522"/>
      <c r="AG38" s="495"/>
      <c r="AH38" s="498"/>
      <c r="AI38" s="522"/>
      <c r="AJ38" s="523"/>
      <c r="AK38" s="496"/>
      <c r="AM38" s="541"/>
      <c r="AN38" s="522"/>
      <c r="AO38" s="495"/>
      <c r="AP38" s="498"/>
      <c r="AQ38" s="522"/>
      <c r="AR38" s="523"/>
      <c r="AS38" s="496"/>
    </row>
    <row r="39" spans="3:45" s="190" customFormat="1" x14ac:dyDescent="0.25">
      <c r="C39" s="501"/>
      <c r="D39" s="495" t="str">
        <f>Productenlijst!C37</f>
        <v>B. Opstellen en vaststellen projectbesluit of verlenen omgevingsvergunning voor een BOPA</v>
      </c>
      <c r="E39" s="506"/>
      <c r="F39" s="504">
        <f>SUM(F40:F45)</f>
        <v>0</v>
      </c>
      <c r="G39" s="470"/>
      <c r="H39" s="519">
        <f>SUM(H40:H45)</f>
        <v>0</v>
      </c>
      <c r="I39" s="495"/>
      <c r="J39" s="498"/>
      <c r="K39" s="499">
        <f>SUM(K40:K45)</f>
        <v>0</v>
      </c>
      <c r="L39" s="500">
        <f>SUM(L40:L45)</f>
        <v>0</v>
      </c>
      <c r="M39" s="496"/>
      <c r="O39" s="663" t="s">
        <v>280</v>
      </c>
      <c r="P39" s="542">
        <f>SUM(P40:P45)</f>
        <v>0</v>
      </c>
      <c r="Q39" s="495"/>
      <c r="R39" s="498"/>
      <c r="S39" s="499">
        <f>SUM(S40:S45)</f>
        <v>0</v>
      </c>
      <c r="T39" s="500">
        <f>SUM(T40:T45)</f>
        <v>0</v>
      </c>
      <c r="U39" s="496"/>
      <c r="W39" s="663" t="s">
        <v>280</v>
      </c>
      <c r="X39" s="542">
        <f>SUM(X40:X45)</f>
        <v>0</v>
      </c>
      <c r="Y39" s="495"/>
      <c r="Z39" s="498"/>
      <c r="AA39" s="499">
        <f>SUM(AA40:AA45)</f>
        <v>0</v>
      </c>
      <c r="AB39" s="500">
        <f>SUM(AB40:AB45)</f>
        <v>0</v>
      </c>
      <c r="AC39" s="496"/>
      <c r="AE39" s="663" t="s">
        <v>280</v>
      </c>
      <c r="AF39" s="542">
        <f>SUM(AF40:AF45)</f>
        <v>0</v>
      </c>
      <c r="AG39" s="495"/>
      <c r="AH39" s="498"/>
      <c r="AI39" s="499">
        <f>SUM(AI40:AI45)</f>
        <v>0</v>
      </c>
      <c r="AJ39" s="500">
        <f>SUM(AJ40:AJ45)</f>
        <v>0</v>
      </c>
      <c r="AK39" s="496"/>
      <c r="AM39" s="663" t="s">
        <v>280</v>
      </c>
      <c r="AN39" s="542">
        <f>SUM(AN40:AN45)</f>
        <v>0</v>
      </c>
      <c r="AO39" s="495"/>
      <c r="AP39" s="498"/>
      <c r="AQ39" s="499">
        <f>SUM(AQ40:AQ45)</f>
        <v>0</v>
      </c>
      <c r="AR39" s="500">
        <f>SUM(AR40:AR45)</f>
        <v>0</v>
      </c>
      <c r="AS39" s="496"/>
    </row>
    <row r="40" spans="3:45" s="190" customFormat="1" x14ac:dyDescent="0.25">
      <c r="C40" s="501"/>
      <c r="D40" s="495"/>
      <c r="E40" s="506" t="s">
        <v>154</v>
      </c>
      <c r="F40" s="507">
        <f>Productenlijst!M38</f>
        <v>0</v>
      </c>
      <c r="G40" s="470"/>
      <c r="H40" s="518">
        <f t="shared" ref="H40:H45" si="50">F40*$H$18</f>
        <v>0</v>
      </c>
      <c r="I40" s="472">
        <v>0</v>
      </c>
      <c r="J40" s="521" t="s">
        <v>269</v>
      </c>
      <c r="K40" s="522">
        <f>I40*H40</f>
        <v>0</v>
      </c>
      <c r="L40" s="523">
        <f>H40-K40</f>
        <v>0</v>
      </c>
      <c r="M40" s="524" t="str">
        <f t="shared" ref="M40:M41" si="51">IF(I40&gt;60%,"X","")</f>
        <v/>
      </c>
      <c r="O40" s="541" t="s">
        <v>274</v>
      </c>
      <c r="P40" s="522">
        <f t="shared" ref="P40:P45" si="52">F40*$P$18</f>
        <v>0</v>
      </c>
      <c r="Q40" s="472">
        <v>0</v>
      </c>
      <c r="R40" s="521" t="s">
        <v>269</v>
      </c>
      <c r="S40" s="522">
        <f>Q40*P40</f>
        <v>0</v>
      </c>
      <c r="T40" s="523">
        <f>P40-S40</f>
        <v>0</v>
      </c>
      <c r="U40" s="524" t="str">
        <f t="shared" ref="U40:U41" si="53">IF(Q40&gt;60%,"X","")</f>
        <v/>
      </c>
      <c r="W40" s="541" t="s">
        <v>274</v>
      </c>
      <c r="X40" s="522">
        <f t="shared" ref="X40:X45" si="54">F40*$X$18</f>
        <v>0</v>
      </c>
      <c r="Y40" s="472">
        <v>0</v>
      </c>
      <c r="Z40" s="521" t="s">
        <v>269</v>
      </c>
      <c r="AA40" s="522">
        <f>Y40*X40</f>
        <v>0</v>
      </c>
      <c r="AB40" s="523">
        <f>X40-AA40</f>
        <v>0</v>
      </c>
      <c r="AC40" s="524" t="str">
        <f t="shared" ref="AC40:AC41" si="55">IF(Y40&gt;60%,"X","")</f>
        <v/>
      </c>
      <c r="AE40" s="541" t="s">
        <v>274</v>
      </c>
      <c r="AF40" s="522">
        <f t="shared" ref="AF40:AF45" si="56">F40*$AF$18</f>
        <v>0</v>
      </c>
      <c r="AG40" s="472">
        <v>0</v>
      </c>
      <c r="AH40" s="521" t="s">
        <v>269</v>
      </c>
      <c r="AI40" s="522">
        <f>AG40*AF40</f>
        <v>0</v>
      </c>
      <c r="AJ40" s="523">
        <f>AF40-AI40</f>
        <v>0</v>
      </c>
      <c r="AK40" s="524" t="str">
        <f t="shared" ref="AK40:AK41" si="57">IF(AG40&gt;60%,"X","")</f>
        <v/>
      </c>
      <c r="AM40" s="541" t="s">
        <v>274</v>
      </c>
      <c r="AN40" s="522">
        <f t="shared" ref="AN40:AN45" si="58">F40*$AN$18</f>
        <v>0</v>
      </c>
      <c r="AO40" s="472">
        <v>0</v>
      </c>
      <c r="AP40" s="521" t="s">
        <v>269</v>
      </c>
      <c r="AQ40" s="522">
        <f>AO40*AN40</f>
        <v>0</v>
      </c>
      <c r="AR40" s="523">
        <f>AN40-AQ40</f>
        <v>0</v>
      </c>
      <c r="AS40" s="524" t="str">
        <f t="shared" ref="AS40:AS41" si="59">IF(AO40&gt;60%,"X","")</f>
        <v/>
      </c>
    </row>
    <row r="41" spans="3:45" s="190" customFormat="1" x14ac:dyDescent="0.25">
      <c r="C41" s="501"/>
      <c r="D41" s="495"/>
      <c r="E41" s="506" t="s">
        <v>150</v>
      </c>
      <c r="F41" s="507">
        <f>Productenlijst!M39</f>
        <v>0</v>
      </c>
      <c r="G41" s="470"/>
      <c r="H41" s="518">
        <f t="shared" si="50"/>
        <v>0</v>
      </c>
      <c r="I41" s="472">
        <v>0</v>
      </c>
      <c r="J41" s="521" t="s">
        <v>269</v>
      </c>
      <c r="K41" s="522">
        <f t="shared" ref="K41:K45" si="60">I41*H41</f>
        <v>0</v>
      </c>
      <c r="L41" s="523">
        <f t="shared" ref="L41:L45" si="61">H41-K41</f>
        <v>0</v>
      </c>
      <c r="M41" s="524" t="str">
        <f t="shared" si="51"/>
        <v/>
      </c>
      <c r="O41" s="541" t="s">
        <v>271</v>
      </c>
      <c r="P41" s="522">
        <f t="shared" si="52"/>
        <v>0</v>
      </c>
      <c r="Q41" s="472">
        <v>0</v>
      </c>
      <c r="R41" s="521" t="s">
        <v>269</v>
      </c>
      <c r="S41" s="522">
        <f t="shared" ref="S41:S45" si="62">Q41*P41</f>
        <v>0</v>
      </c>
      <c r="T41" s="523">
        <f t="shared" ref="T41:T45" si="63">P41-S41</f>
        <v>0</v>
      </c>
      <c r="U41" s="524" t="str">
        <f t="shared" si="53"/>
        <v/>
      </c>
      <c r="W41" s="541" t="s">
        <v>271</v>
      </c>
      <c r="X41" s="522">
        <f t="shared" si="54"/>
        <v>0</v>
      </c>
      <c r="Y41" s="472">
        <v>0</v>
      </c>
      <c r="Z41" s="521" t="s">
        <v>269</v>
      </c>
      <c r="AA41" s="522">
        <f t="shared" ref="AA41:AA45" si="64">Y41*X41</f>
        <v>0</v>
      </c>
      <c r="AB41" s="523">
        <f t="shared" ref="AB41:AB45" si="65">X41-AA41</f>
        <v>0</v>
      </c>
      <c r="AC41" s="524" t="str">
        <f t="shared" si="55"/>
        <v/>
      </c>
      <c r="AE41" s="541" t="s">
        <v>271</v>
      </c>
      <c r="AF41" s="522">
        <f t="shared" si="56"/>
        <v>0</v>
      </c>
      <c r="AG41" s="472">
        <v>0</v>
      </c>
      <c r="AH41" s="521" t="s">
        <v>269</v>
      </c>
      <c r="AI41" s="522">
        <f t="shared" ref="AI41:AI45" si="66">AG41*AF41</f>
        <v>0</v>
      </c>
      <c r="AJ41" s="523">
        <f t="shared" ref="AJ41:AJ45" si="67">AF41-AI41</f>
        <v>0</v>
      </c>
      <c r="AK41" s="524" t="str">
        <f t="shared" si="57"/>
        <v/>
      </c>
      <c r="AM41" s="541" t="s">
        <v>271</v>
      </c>
      <c r="AN41" s="522">
        <f t="shared" si="58"/>
        <v>0</v>
      </c>
      <c r="AO41" s="472">
        <v>0</v>
      </c>
      <c r="AP41" s="521" t="s">
        <v>269</v>
      </c>
      <c r="AQ41" s="522">
        <f t="shared" ref="AQ41:AQ45" si="68">AO41*AN41</f>
        <v>0</v>
      </c>
      <c r="AR41" s="523">
        <f t="shared" ref="AR41:AR45" si="69">AN41-AQ41</f>
        <v>0</v>
      </c>
      <c r="AS41" s="524" t="str">
        <f t="shared" si="59"/>
        <v/>
      </c>
    </row>
    <row r="42" spans="3:45" s="190" customFormat="1" x14ac:dyDescent="0.25">
      <c r="C42" s="501"/>
      <c r="D42" s="495"/>
      <c r="E42" s="506" t="s">
        <v>155</v>
      </c>
      <c r="F42" s="507">
        <f>Productenlijst!M40</f>
        <v>0</v>
      </c>
      <c r="G42" s="470"/>
      <c r="H42" s="518">
        <f t="shared" si="50"/>
        <v>0</v>
      </c>
      <c r="I42" s="472">
        <v>0</v>
      </c>
      <c r="J42" s="521" t="s">
        <v>269</v>
      </c>
      <c r="K42" s="522">
        <f t="shared" si="60"/>
        <v>0</v>
      </c>
      <c r="L42" s="523">
        <f t="shared" si="61"/>
        <v>0</v>
      </c>
      <c r="M42" s="524" t="str">
        <f>IF(I42&gt;60%,"X","")</f>
        <v/>
      </c>
      <c r="O42" s="541" t="s">
        <v>275</v>
      </c>
      <c r="P42" s="522">
        <f t="shared" si="52"/>
        <v>0</v>
      </c>
      <c r="Q42" s="472">
        <v>0</v>
      </c>
      <c r="R42" s="521" t="s">
        <v>269</v>
      </c>
      <c r="S42" s="522">
        <f t="shared" si="62"/>
        <v>0</v>
      </c>
      <c r="T42" s="523">
        <f t="shared" si="63"/>
        <v>0</v>
      </c>
      <c r="U42" s="524" t="str">
        <f>IF(Q42&gt;60%,"X","")</f>
        <v/>
      </c>
      <c r="W42" s="541" t="s">
        <v>275</v>
      </c>
      <c r="X42" s="522">
        <f t="shared" si="54"/>
        <v>0</v>
      </c>
      <c r="Y42" s="472">
        <v>0</v>
      </c>
      <c r="Z42" s="521" t="s">
        <v>269</v>
      </c>
      <c r="AA42" s="522">
        <f t="shared" si="64"/>
        <v>0</v>
      </c>
      <c r="AB42" s="523">
        <f t="shared" si="65"/>
        <v>0</v>
      </c>
      <c r="AC42" s="524" t="str">
        <f>IF(Y42&gt;60%,"X","")</f>
        <v/>
      </c>
      <c r="AE42" s="541" t="s">
        <v>275</v>
      </c>
      <c r="AF42" s="522">
        <f t="shared" si="56"/>
        <v>0</v>
      </c>
      <c r="AG42" s="472">
        <v>0</v>
      </c>
      <c r="AH42" s="521" t="s">
        <v>269</v>
      </c>
      <c r="AI42" s="522">
        <f t="shared" si="66"/>
        <v>0</v>
      </c>
      <c r="AJ42" s="523">
        <f t="shared" si="67"/>
        <v>0</v>
      </c>
      <c r="AK42" s="524" t="str">
        <f>IF(AG42&gt;60%,"X","")</f>
        <v/>
      </c>
      <c r="AM42" s="541" t="s">
        <v>275</v>
      </c>
      <c r="AN42" s="522">
        <f t="shared" si="58"/>
        <v>0</v>
      </c>
      <c r="AO42" s="472">
        <v>0</v>
      </c>
      <c r="AP42" s="521" t="s">
        <v>269</v>
      </c>
      <c r="AQ42" s="522">
        <f t="shared" si="68"/>
        <v>0</v>
      </c>
      <c r="AR42" s="523">
        <f t="shared" si="69"/>
        <v>0</v>
      </c>
      <c r="AS42" s="524" t="str">
        <f>IF(AO42&gt;60%,"X","")</f>
        <v/>
      </c>
    </row>
    <row r="43" spans="3:45" s="190" customFormat="1" x14ac:dyDescent="0.25">
      <c r="C43" s="501"/>
      <c r="D43" s="495"/>
      <c r="E43" s="506" t="s">
        <v>156</v>
      </c>
      <c r="F43" s="507">
        <f>Productenlijst!M41</f>
        <v>0</v>
      </c>
      <c r="G43" s="470"/>
      <c r="H43" s="518">
        <f t="shared" si="50"/>
        <v>0</v>
      </c>
      <c r="I43" s="472">
        <v>0</v>
      </c>
      <c r="J43" s="521" t="s">
        <v>269</v>
      </c>
      <c r="K43" s="522">
        <f t="shared" si="60"/>
        <v>0</v>
      </c>
      <c r="L43" s="523">
        <f t="shared" si="61"/>
        <v>0</v>
      </c>
      <c r="M43" s="524" t="str">
        <f t="shared" ref="M43:M45" si="70">IF(I43&gt;60%,"X","")</f>
        <v/>
      </c>
      <c r="O43" s="541" t="s">
        <v>276</v>
      </c>
      <c r="P43" s="522">
        <f t="shared" si="52"/>
        <v>0</v>
      </c>
      <c r="Q43" s="472">
        <v>0</v>
      </c>
      <c r="R43" s="521" t="s">
        <v>269</v>
      </c>
      <c r="S43" s="522">
        <f t="shared" si="62"/>
        <v>0</v>
      </c>
      <c r="T43" s="523">
        <f t="shared" si="63"/>
        <v>0</v>
      </c>
      <c r="U43" s="524" t="str">
        <f t="shared" ref="U43:U45" si="71">IF(Q43&gt;60%,"X","")</f>
        <v/>
      </c>
      <c r="W43" s="541" t="s">
        <v>276</v>
      </c>
      <c r="X43" s="522">
        <f t="shared" si="54"/>
        <v>0</v>
      </c>
      <c r="Y43" s="472">
        <v>0</v>
      </c>
      <c r="Z43" s="521" t="s">
        <v>269</v>
      </c>
      <c r="AA43" s="522">
        <f t="shared" si="64"/>
        <v>0</v>
      </c>
      <c r="AB43" s="523">
        <f t="shared" si="65"/>
        <v>0</v>
      </c>
      <c r="AC43" s="524" t="str">
        <f t="shared" ref="AC43:AC45" si="72">IF(Y43&gt;60%,"X","")</f>
        <v/>
      </c>
      <c r="AE43" s="541" t="s">
        <v>276</v>
      </c>
      <c r="AF43" s="522">
        <f t="shared" si="56"/>
        <v>0</v>
      </c>
      <c r="AG43" s="472">
        <v>0</v>
      </c>
      <c r="AH43" s="521" t="s">
        <v>269</v>
      </c>
      <c r="AI43" s="522">
        <f t="shared" si="66"/>
        <v>0</v>
      </c>
      <c r="AJ43" s="523">
        <f t="shared" si="67"/>
        <v>0</v>
      </c>
      <c r="AK43" s="524" t="str">
        <f t="shared" ref="AK43:AK45" si="73">IF(AG43&gt;60%,"X","")</f>
        <v/>
      </c>
      <c r="AM43" s="541" t="s">
        <v>276</v>
      </c>
      <c r="AN43" s="522">
        <f t="shared" si="58"/>
        <v>0</v>
      </c>
      <c r="AO43" s="472">
        <v>0</v>
      </c>
      <c r="AP43" s="521" t="s">
        <v>269</v>
      </c>
      <c r="AQ43" s="522">
        <f t="shared" si="68"/>
        <v>0</v>
      </c>
      <c r="AR43" s="523">
        <f t="shared" si="69"/>
        <v>0</v>
      </c>
      <c r="AS43" s="524" t="str">
        <f t="shared" ref="AS43:AS45" si="74">IF(AO43&gt;60%,"X","")</f>
        <v/>
      </c>
    </row>
    <row r="44" spans="3:45" s="190" customFormat="1" x14ac:dyDescent="0.25">
      <c r="C44" s="501"/>
      <c r="D44" s="495"/>
      <c r="E44" s="506" t="s">
        <v>157</v>
      </c>
      <c r="F44" s="507">
        <f>Productenlijst!M42</f>
        <v>0</v>
      </c>
      <c r="G44" s="470"/>
      <c r="H44" s="518">
        <f t="shared" si="50"/>
        <v>0</v>
      </c>
      <c r="I44" s="472">
        <v>0</v>
      </c>
      <c r="J44" s="521" t="s">
        <v>269</v>
      </c>
      <c r="K44" s="522">
        <f t="shared" si="60"/>
        <v>0</v>
      </c>
      <c r="L44" s="523">
        <f t="shared" si="61"/>
        <v>0</v>
      </c>
      <c r="M44" s="524" t="str">
        <f t="shared" si="70"/>
        <v/>
      </c>
      <c r="O44" s="541" t="s">
        <v>277</v>
      </c>
      <c r="P44" s="522">
        <f t="shared" si="52"/>
        <v>0</v>
      </c>
      <c r="Q44" s="472">
        <v>0</v>
      </c>
      <c r="R44" s="521" t="s">
        <v>269</v>
      </c>
      <c r="S44" s="522">
        <f t="shared" si="62"/>
        <v>0</v>
      </c>
      <c r="T44" s="523">
        <f t="shared" si="63"/>
        <v>0</v>
      </c>
      <c r="U44" s="524" t="str">
        <f t="shared" si="71"/>
        <v/>
      </c>
      <c r="W44" s="541" t="s">
        <v>277</v>
      </c>
      <c r="X44" s="522">
        <f t="shared" si="54"/>
        <v>0</v>
      </c>
      <c r="Y44" s="472">
        <v>0</v>
      </c>
      <c r="Z44" s="521" t="s">
        <v>269</v>
      </c>
      <c r="AA44" s="522">
        <f t="shared" si="64"/>
        <v>0</v>
      </c>
      <c r="AB44" s="523">
        <f t="shared" si="65"/>
        <v>0</v>
      </c>
      <c r="AC44" s="524" t="str">
        <f t="shared" si="72"/>
        <v/>
      </c>
      <c r="AE44" s="541" t="s">
        <v>277</v>
      </c>
      <c r="AF44" s="522">
        <f t="shared" si="56"/>
        <v>0</v>
      </c>
      <c r="AG44" s="472">
        <v>0</v>
      </c>
      <c r="AH44" s="521" t="s">
        <v>269</v>
      </c>
      <c r="AI44" s="522">
        <f t="shared" si="66"/>
        <v>0</v>
      </c>
      <c r="AJ44" s="523">
        <f t="shared" si="67"/>
        <v>0</v>
      </c>
      <c r="AK44" s="524" t="str">
        <f t="shared" si="73"/>
        <v/>
      </c>
      <c r="AM44" s="541" t="s">
        <v>277</v>
      </c>
      <c r="AN44" s="522">
        <f t="shared" si="58"/>
        <v>0</v>
      </c>
      <c r="AO44" s="472">
        <v>0</v>
      </c>
      <c r="AP44" s="521" t="s">
        <v>269</v>
      </c>
      <c r="AQ44" s="522">
        <f t="shared" si="68"/>
        <v>0</v>
      </c>
      <c r="AR44" s="523">
        <f t="shared" si="69"/>
        <v>0</v>
      </c>
      <c r="AS44" s="524" t="str">
        <f t="shared" si="74"/>
        <v/>
      </c>
    </row>
    <row r="45" spans="3:45" s="190" customFormat="1" x14ac:dyDescent="0.25">
      <c r="C45" s="501"/>
      <c r="D45" s="495"/>
      <c r="E45" s="506" t="s">
        <v>158</v>
      </c>
      <c r="F45" s="507">
        <f>Productenlijst!M43</f>
        <v>0</v>
      </c>
      <c r="G45" s="470"/>
      <c r="H45" s="518">
        <f t="shared" si="50"/>
        <v>0</v>
      </c>
      <c r="I45" s="472">
        <v>0</v>
      </c>
      <c r="J45" s="521" t="s">
        <v>269</v>
      </c>
      <c r="K45" s="522">
        <f t="shared" si="60"/>
        <v>0</v>
      </c>
      <c r="L45" s="523">
        <f t="shared" si="61"/>
        <v>0</v>
      </c>
      <c r="M45" s="524" t="str">
        <f t="shared" si="70"/>
        <v/>
      </c>
      <c r="O45" s="541" t="s">
        <v>278</v>
      </c>
      <c r="P45" s="522">
        <f t="shared" si="52"/>
        <v>0</v>
      </c>
      <c r="Q45" s="472">
        <v>0</v>
      </c>
      <c r="R45" s="521" t="s">
        <v>269</v>
      </c>
      <c r="S45" s="522">
        <f t="shared" si="62"/>
        <v>0</v>
      </c>
      <c r="T45" s="523">
        <f t="shared" si="63"/>
        <v>0</v>
      </c>
      <c r="U45" s="524" t="str">
        <f t="shared" si="71"/>
        <v/>
      </c>
      <c r="W45" s="541" t="s">
        <v>278</v>
      </c>
      <c r="X45" s="522">
        <f t="shared" si="54"/>
        <v>0</v>
      </c>
      <c r="Y45" s="472">
        <v>0</v>
      </c>
      <c r="Z45" s="521" t="s">
        <v>269</v>
      </c>
      <c r="AA45" s="522">
        <f t="shared" si="64"/>
        <v>0</v>
      </c>
      <c r="AB45" s="523">
        <f t="shared" si="65"/>
        <v>0</v>
      </c>
      <c r="AC45" s="524" t="str">
        <f t="shared" si="72"/>
        <v/>
      </c>
      <c r="AE45" s="541" t="s">
        <v>278</v>
      </c>
      <c r="AF45" s="522">
        <f t="shared" si="56"/>
        <v>0</v>
      </c>
      <c r="AG45" s="472">
        <v>0</v>
      </c>
      <c r="AH45" s="521" t="s">
        <v>269</v>
      </c>
      <c r="AI45" s="522">
        <f t="shared" si="66"/>
        <v>0</v>
      </c>
      <c r="AJ45" s="523">
        <f t="shared" si="67"/>
        <v>0</v>
      </c>
      <c r="AK45" s="524" t="str">
        <f t="shared" si="73"/>
        <v/>
      </c>
      <c r="AM45" s="541" t="s">
        <v>278</v>
      </c>
      <c r="AN45" s="522">
        <f t="shared" si="58"/>
        <v>0</v>
      </c>
      <c r="AO45" s="472">
        <v>0</v>
      </c>
      <c r="AP45" s="521" t="s">
        <v>269</v>
      </c>
      <c r="AQ45" s="522">
        <f t="shared" si="68"/>
        <v>0</v>
      </c>
      <c r="AR45" s="523">
        <f t="shared" si="69"/>
        <v>0</v>
      </c>
      <c r="AS45" s="524" t="str">
        <f t="shared" si="74"/>
        <v/>
      </c>
    </row>
    <row r="46" spans="3:45" s="190" customFormat="1" x14ac:dyDescent="0.25">
      <c r="C46" s="501"/>
      <c r="D46" s="495"/>
      <c r="E46" s="506"/>
      <c r="F46" s="507"/>
      <c r="G46" s="470"/>
      <c r="H46" s="518"/>
      <c r="I46" s="529"/>
      <c r="J46" s="521"/>
      <c r="K46" s="522"/>
      <c r="L46" s="523"/>
      <c r="M46" s="524"/>
      <c r="O46" s="541"/>
      <c r="P46" s="522"/>
      <c r="Q46" s="529"/>
      <c r="R46" s="521"/>
      <c r="S46" s="522"/>
      <c r="T46" s="523"/>
      <c r="U46" s="524"/>
      <c r="W46" s="541"/>
      <c r="X46" s="522"/>
      <c r="Y46" s="529"/>
      <c r="Z46" s="521"/>
      <c r="AA46" s="522"/>
      <c r="AB46" s="523"/>
      <c r="AC46" s="524"/>
      <c r="AE46" s="541"/>
      <c r="AF46" s="522"/>
      <c r="AG46" s="529"/>
      <c r="AH46" s="521"/>
      <c r="AI46" s="522"/>
      <c r="AJ46" s="523"/>
      <c r="AK46" s="524"/>
      <c r="AM46" s="541"/>
      <c r="AN46" s="522"/>
      <c r="AO46" s="529"/>
      <c r="AP46" s="521"/>
      <c r="AQ46" s="522"/>
      <c r="AR46" s="523"/>
      <c r="AS46" s="524"/>
    </row>
    <row r="47" spans="3:45" s="190" customFormat="1" x14ac:dyDescent="0.25">
      <c r="C47" s="501"/>
      <c r="D47" s="511" t="str">
        <f>Productenlijst!E46</f>
        <v>Opstellen regels kostenverhaal</v>
      </c>
      <c r="E47" s="506"/>
      <c r="F47" s="504">
        <f>SUM(F48:F49)</f>
        <v>0</v>
      </c>
      <c r="G47" s="470"/>
      <c r="H47" s="497">
        <f>SUM(H48:H49)</f>
        <v>0</v>
      </c>
      <c r="I47" s="495"/>
      <c r="J47" s="498"/>
      <c r="K47" s="499">
        <f>SUM(K48:K49)</f>
        <v>0</v>
      </c>
      <c r="L47" s="500">
        <f>SUM(L48:L49)</f>
        <v>0</v>
      </c>
      <c r="M47" s="496"/>
      <c r="O47" s="541"/>
      <c r="P47" s="499">
        <f>SUM(P48:P49)</f>
        <v>0</v>
      </c>
      <c r="Q47" s="495"/>
      <c r="R47" s="498"/>
      <c r="S47" s="499">
        <f>SUM(S48:S49)</f>
        <v>0</v>
      </c>
      <c r="T47" s="500">
        <f>SUM(T48:T49)</f>
        <v>0</v>
      </c>
      <c r="U47" s="496"/>
      <c r="W47" s="541"/>
      <c r="X47" s="499">
        <f>SUM(X48:X49)</f>
        <v>0</v>
      </c>
      <c r="Y47" s="495"/>
      <c r="Z47" s="498"/>
      <c r="AA47" s="499">
        <f>SUM(AA48:AA49)</f>
        <v>0</v>
      </c>
      <c r="AB47" s="500">
        <f>SUM(AB48:AB49)</f>
        <v>0</v>
      </c>
      <c r="AC47" s="496"/>
      <c r="AE47" s="541"/>
      <c r="AF47" s="499">
        <f>SUM(AF48:AF49)</f>
        <v>0</v>
      </c>
      <c r="AG47" s="495"/>
      <c r="AH47" s="498"/>
      <c r="AI47" s="499">
        <f>SUM(AI48:AI49)</f>
        <v>0</v>
      </c>
      <c r="AJ47" s="500">
        <f>SUM(AJ48:AJ49)</f>
        <v>0</v>
      </c>
      <c r="AK47" s="496"/>
      <c r="AM47" s="541"/>
      <c r="AN47" s="499">
        <f>SUM(AN48:AN49)</f>
        <v>0</v>
      </c>
      <c r="AO47" s="495"/>
      <c r="AP47" s="498"/>
      <c r="AQ47" s="499">
        <f>SUM(AQ48:AQ49)</f>
        <v>0</v>
      </c>
      <c r="AR47" s="500">
        <f>SUM(AR48:AR49)</f>
        <v>0</v>
      </c>
      <c r="AS47" s="496"/>
    </row>
    <row r="48" spans="3:45" s="190" customFormat="1" x14ac:dyDescent="0.25">
      <c r="C48" s="501"/>
      <c r="D48" s="511"/>
      <c r="E48" s="506" t="s">
        <v>160</v>
      </c>
      <c r="F48" s="507">
        <f>Productenlijst!M46</f>
        <v>0</v>
      </c>
      <c r="G48" s="470"/>
      <c r="H48" s="518">
        <f>F48*$H$18</f>
        <v>0</v>
      </c>
      <c r="I48" s="472">
        <v>0</v>
      </c>
      <c r="J48" s="521" t="s">
        <v>269</v>
      </c>
      <c r="K48" s="522">
        <f t="shared" ref="K48:K49" si="75">I48*H48</f>
        <v>0</v>
      </c>
      <c r="L48" s="523">
        <f t="shared" ref="L48:L49" si="76">H48-K48</f>
        <v>0</v>
      </c>
      <c r="M48" s="524" t="str">
        <f t="shared" ref="M48:M49" si="77">IF(I48&gt;60%,"X","")</f>
        <v/>
      </c>
      <c r="O48" s="541" t="s">
        <v>279</v>
      </c>
      <c r="P48" s="522">
        <f>F48*$P$18</f>
        <v>0</v>
      </c>
      <c r="Q48" s="472">
        <v>0</v>
      </c>
      <c r="R48" s="521" t="s">
        <v>269</v>
      </c>
      <c r="S48" s="522">
        <f t="shared" ref="S48:S49" si="78">Q48*P48</f>
        <v>0</v>
      </c>
      <c r="T48" s="523">
        <f t="shared" ref="T48:T49" si="79">P48-S48</f>
        <v>0</v>
      </c>
      <c r="U48" s="524" t="str">
        <f t="shared" ref="U48:U49" si="80">IF(Q48&gt;60%,"X","")</f>
        <v/>
      </c>
      <c r="W48" s="541" t="s">
        <v>279</v>
      </c>
      <c r="X48" s="522">
        <f>F48*$X$18</f>
        <v>0</v>
      </c>
      <c r="Y48" s="472">
        <v>0</v>
      </c>
      <c r="Z48" s="521" t="s">
        <v>269</v>
      </c>
      <c r="AA48" s="522">
        <f t="shared" ref="AA48:AA49" si="81">Y48*X48</f>
        <v>0</v>
      </c>
      <c r="AB48" s="523">
        <f t="shared" ref="AB48:AB49" si="82">X48-AA48</f>
        <v>0</v>
      </c>
      <c r="AC48" s="524" t="str">
        <f t="shared" ref="AC48:AC49" si="83">IF(Y48&gt;60%,"X","")</f>
        <v/>
      </c>
      <c r="AE48" s="541" t="s">
        <v>279</v>
      </c>
      <c r="AF48" s="522">
        <f>F48*$AF$18</f>
        <v>0</v>
      </c>
      <c r="AG48" s="472">
        <v>0</v>
      </c>
      <c r="AH48" s="521" t="s">
        <v>269</v>
      </c>
      <c r="AI48" s="522">
        <f t="shared" ref="AI48:AI49" si="84">AG48*AF48</f>
        <v>0</v>
      </c>
      <c r="AJ48" s="523">
        <f t="shared" ref="AJ48:AJ49" si="85">AF48-AI48</f>
        <v>0</v>
      </c>
      <c r="AK48" s="524" t="str">
        <f t="shared" ref="AK48:AK49" si="86">IF(AG48&gt;60%,"X","")</f>
        <v/>
      </c>
      <c r="AM48" s="541" t="s">
        <v>279</v>
      </c>
      <c r="AN48" s="522">
        <f>F48*$AN$18</f>
        <v>0</v>
      </c>
      <c r="AO48" s="472">
        <v>0</v>
      </c>
      <c r="AP48" s="521" t="s">
        <v>269</v>
      </c>
      <c r="AQ48" s="522">
        <f t="shared" ref="AQ48:AQ49" si="87">AO48*AN48</f>
        <v>0</v>
      </c>
      <c r="AR48" s="523">
        <f t="shared" ref="AR48:AR49" si="88">AN48-AQ48</f>
        <v>0</v>
      </c>
      <c r="AS48" s="524" t="str">
        <f t="shared" ref="AS48:AS49" si="89">IF(AO48&gt;60%,"X","")</f>
        <v/>
      </c>
    </row>
    <row r="49" spans="3:45" s="190" customFormat="1" x14ac:dyDescent="0.25">
      <c r="C49" s="501"/>
      <c r="D49" s="511"/>
      <c r="E49" s="506" t="s">
        <v>150</v>
      </c>
      <c r="F49" s="507">
        <f>Productenlijst!M47</f>
        <v>0</v>
      </c>
      <c r="G49" s="470"/>
      <c r="H49" s="518">
        <f>F49*$H$18</f>
        <v>0</v>
      </c>
      <c r="I49" s="472">
        <v>0</v>
      </c>
      <c r="J49" s="521" t="s">
        <v>269</v>
      </c>
      <c r="K49" s="522">
        <f t="shared" si="75"/>
        <v>0</v>
      </c>
      <c r="L49" s="523">
        <f t="shared" si="76"/>
        <v>0</v>
      </c>
      <c r="M49" s="524" t="str">
        <f t="shared" si="77"/>
        <v/>
      </c>
      <c r="O49" s="541" t="s">
        <v>271</v>
      </c>
      <c r="P49" s="522">
        <f>F49*$P$18</f>
        <v>0</v>
      </c>
      <c r="Q49" s="472">
        <v>0</v>
      </c>
      <c r="R49" s="521" t="s">
        <v>269</v>
      </c>
      <c r="S49" s="522">
        <f t="shared" si="78"/>
        <v>0</v>
      </c>
      <c r="T49" s="523">
        <f t="shared" si="79"/>
        <v>0</v>
      </c>
      <c r="U49" s="524" t="str">
        <f t="shared" si="80"/>
        <v/>
      </c>
      <c r="W49" s="541" t="s">
        <v>271</v>
      </c>
      <c r="X49" s="522">
        <f>F49*$X$18</f>
        <v>0</v>
      </c>
      <c r="Y49" s="472">
        <v>0</v>
      </c>
      <c r="Z49" s="521" t="s">
        <v>269</v>
      </c>
      <c r="AA49" s="522">
        <f t="shared" si="81"/>
        <v>0</v>
      </c>
      <c r="AB49" s="523">
        <f t="shared" si="82"/>
        <v>0</v>
      </c>
      <c r="AC49" s="524" t="str">
        <f t="shared" si="83"/>
        <v/>
      </c>
      <c r="AE49" s="541" t="s">
        <v>271</v>
      </c>
      <c r="AF49" s="522">
        <f>F49*$AF$18</f>
        <v>0</v>
      </c>
      <c r="AG49" s="472">
        <v>0</v>
      </c>
      <c r="AH49" s="521" t="s">
        <v>269</v>
      </c>
      <c r="AI49" s="522">
        <f t="shared" si="84"/>
        <v>0</v>
      </c>
      <c r="AJ49" s="523">
        <f t="shared" si="85"/>
        <v>0</v>
      </c>
      <c r="AK49" s="524" t="str">
        <f t="shared" si="86"/>
        <v/>
      </c>
      <c r="AM49" s="541" t="s">
        <v>271</v>
      </c>
      <c r="AN49" s="522">
        <f>F49*$AN$18</f>
        <v>0</v>
      </c>
      <c r="AO49" s="472">
        <v>0</v>
      </c>
      <c r="AP49" s="521" t="s">
        <v>269</v>
      </c>
      <c r="AQ49" s="522">
        <f t="shared" si="87"/>
        <v>0</v>
      </c>
      <c r="AR49" s="523">
        <f t="shared" si="88"/>
        <v>0</v>
      </c>
      <c r="AS49" s="524" t="str">
        <f t="shared" si="89"/>
        <v/>
      </c>
    </row>
    <row r="50" spans="3:45" s="190" customFormat="1" x14ac:dyDescent="0.25">
      <c r="C50" s="501"/>
      <c r="D50" s="511"/>
      <c r="E50" s="506"/>
      <c r="F50" s="507"/>
      <c r="G50" s="470"/>
      <c r="H50" s="518"/>
      <c r="I50" s="495"/>
      <c r="J50" s="498"/>
      <c r="K50" s="522"/>
      <c r="L50" s="523"/>
      <c r="M50" s="496"/>
      <c r="O50" s="537"/>
      <c r="P50" s="522"/>
      <c r="Q50" s="495"/>
      <c r="R50" s="498"/>
      <c r="S50" s="522"/>
      <c r="T50" s="523"/>
      <c r="U50" s="496"/>
      <c r="W50" s="537"/>
      <c r="X50" s="522"/>
      <c r="Y50" s="495"/>
      <c r="Z50" s="498"/>
      <c r="AA50" s="522"/>
      <c r="AB50" s="523"/>
      <c r="AC50" s="496"/>
      <c r="AE50" s="537"/>
      <c r="AF50" s="522"/>
      <c r="AG50" s="495"/>
      <c r="AH50" s="498"/>
      <c r="AI50" s="522"/>
      <c r="AJ50" s="523"/>
      <c r="AK50" s="496"/>
      <c r="AM50" s="537"/>
      <c r="AN50" s="522"/>
      <c r="AO50" s="495"/>
      <c r="AP50" s="498"/>
      <c r="AQ50" s="522"/>
      <c r="AR50" s="523"/>
      <c r="AS50" s="496"/>
    </row>
    <row r="51" spans="3:45" s="190" customFormat="1" x14ac:dyDescent="0.25">
      <c r="C51" s="501" t="s">
        <v>164</v>
      </c>
      <c r="D51" s="495" t="str">
        <f>Productenlijst!C51</f>
        <v>Stedenbouwkundig plan</v>
      </c>
      <c r="E51" s="506"/>
      <c r="F51" s="504">
        <f>SUM(F52:F57)</f>
        <v>0</v>
      </c>
      <c r="G51" s="470"/>
      <c r="H51" s="497">
        <f>SUM(H52:H57)</f>
        <v>0</v>
      </c>
      <c r="I51" s="495"/>
      <c r="J51" s="498"/>
      <c r="K51" s="499">
        <f>SUM(K52:K57)</f>
        <v>0</v>
      </c>
      <c r="L51" s="500">
        <f>SUM(L52:L57)</f>
        <v>0</v>
      </c>
      <c r="M51" s="496"/>
      <c r="O51" s="537" t="s">
        <v>164</v>
      </c>
      <c r="P51" s="499">
        <f>SUM(P52:P57)</f>
        <v>0</v>
      </c>
      <c r="Q51" s="495"/>
      <c r="R51" s="498"/>
      <c r="S51" s="499">
        <f>SUM(S52:S57)</f>
        <v>0</v>
      </c>
      <c r="T51" s="500">
        <f>SUM(T52:T57)</f>
        <v>0</v>
      </c>
      <c r="U51" s="496"/>
      <c r="W51" s="537" t="s">
        <v>164</v>
      </c>
      <c r="X51" s="499">
        <f>SUM(X52:X57)</f>
        <v>0</v>
      </c>
      <c r="Y51" s="495"/>
      <c r="Z51" s="498"/>
      <c r="AA51" s="499">
        <f>SUM(AA52:AA57)</f>
        <v>0</v>
      </c>
      <c r="AB51" s="500">
        <f>SUM(AB52:AB57)</f>
        <v>0</v>
      </c>
      <c r="AC51" s="496"/>
      <c r="AE51" s="537" t="s">
        <v>164</v>
      </c>
      <c r="AF51" s="499">
        <f>SUM(AF52:AF57)</f>
        <v>0</v>
      </c>
      <c r="AG51" s="495"/>
      <c r="AH51" s="498"/>
      <c r="AI51" s="499">
        <f>SUM(AI52:AI57)</f>
        <v>0</v>
      </c>
      <c r="AJ51" s="500">
        <f>SUM(AJ52:AJ57)</f>
        <v>0</v>
      </c>
      <c r="AK51" s="496"/>
      <c r="AM51" s="537" t="s">
        <v>164</v>
      </c>
      <c r="AN51" s="499">
        <f>SUM(AN52:AN57)</f>
        <v>0</v>
      </c>
      <c r="AO51" s="495"/>
      <c r="AP51" s="498"/>
      <c r="AQ51" s="499">
        <f>SUM(AQ52:AQ57)</f>
        <v>0</v>
      </c>
      <c r="AR51" s="500">
        <f>SUM(AR52:AR57)</f>
        <v>0</v>
      </c>
      <c r="AS51" s="496"/>
    </row>
    <row r="52" spans="3:45" s="190" customFormat="1" x14ac:dyDescent="0.25">
      <c r="C52" s="501"/>
      <c r="D52" s="495"/>
      <c r="E52" s="506" t="s">
        <v>155</v>
      </c>
      <c r="F52" s="507">
        <f>Productenlijst!M52+Productenlijst!M53</f>
        <v>0</v>
      </c>
      <c r="G52" s="470"/>
      <c r="H52" s="518">
        <f t="shared" ref="H52:H57" si="90">F52*$H$18</f>
        <v>0</v>
      </c>
      <c r="I52" s="472">
        <v>0</v>
      </c>
      <c r="J52" s="521" t="s">
        <v>281</v>
      </c>
      <c r="K52" s="522">
        <f t="shared" ref="K52:K57" si="91">I52*H52</f>
        <v>0</v>
      </c>
      <c r="L52" s="523">
        <f t="shared" ref="L52:L57" si="92">H52-K52</f>
        <v>0</v>
      </c>
      <c r="M52" s="524" t="str">
        <f>IF(I52&gt;90%,"X","")</f>
        <v/>
      </c>
      <c r="O52" s="541" t="s">
        <v>275</v>
      </c>
      <c r="P52" s="522">
        <f t="shared" ref="P52:P57" si="93">F52*$P$18</f>
        <v>0</v>
      </c>
      <c r="Q52" s="472">
        <v>0</v>
      </c>
      <c r="R52" s="521" t="s">
        <v>281</v>
      </c>
      <c r="S52" s="522">
        <f t="shared" ref="S52:S57" si="94">Q52*P52</f>
        <v>0</v>
      </c>
      <c r="T52" s="523">
        <f t="shared" ref="T52:T57" si="95">P52-S52</f>
        <v>0</v>
      </c>
      <c r="U52" s="524" t="str">
        <f>IF(Q52&gt;90%,"X","")</f>
        <v/>
      </c>
      <c r="W52" s="541" t="s">
        <v>275</v>
      </c>
      <c r="X52" s="522">
        <f t="shared" ref="X52:X57" si="96">F52*$X$18</f>
        <v>0</v>
      </c>
      <c r="Y52" s="472">
        <v>0</v>
      </c>
      <c r="Z52" s="521" t="s">
        <v>281</v>
      </c>
      <c r="AA52" s="522">
        <f t="shared" ref="AA52:AA57" si="97">Y52*X52</f>
        <v>0</v>
      </c>
      <c r="AB52" s="523">
        <f t="shared" ref="AB52:AB57" si="98">X52-AA52</f>
        <v>0</v>
      </c>
      <c r="AC52" s="524" t="str">
        <f>IF(Y52&gt;90%,"X","")</f>
        <v/>
      </c>
      <c r="AE52" s="541" t="s">
        <v>275</v>
      </c>
      <c r="AF52" s="522">
        <f t="shared" ref="AF52:AF57" si="99">F52*$AF$18</f>
        <v>0</v>
      </c>
      <c r="AG52" s="472">
        <v>0</v>
      </c>
      <c r="AH52" s="521" t="s">
        <v>281</v>
      </c>
      <c r="AI52" s="522">
        <f t="shared" ref="AI52:AI57" si="100">AG52*AF52</f>
        <v>0</v>
      </c>
      <c r="AJ52" s="523">
        <f t="shared" ref="AJ52:AJ57" si="101">AF52-AI52</f>
        <v>0</v>
      </c>
      <c r="AK52" s="524" t="str">
        <f>IF(AG52&gt;90%,"X","")</f>
        <v/>
      </c>
      <c r="AM52" s="541" t="s">
        <v>275</v>
      </c>
      <c r="AN52" s="522">
        <f t="shared" ref="AN52:AN57" si="102">F52*$AN$18</f>
        <v>0</v>
      </c>
      <c r="AO52" s="472">
        <v>0</v>
      </c>
      <c r="AP52" s="521" t="s">
        <v>281</v>
      </c>
      <c r="AQ52" s="522">
        <f t="shared" ref="AQ52:AQ57" si="103">AO52*AN52</f>
        <v>0</v>
      </c>
      <c r="AR52" s="523">
        <f t="shared" ref="AR52:AR57" si="104">AN52-AQ52</f>
        <v>0</v>
      </c>
      <c r="AS52" s="524" t="str">
        <f>IF(AO52&gt;90%,"X","")</f>
        <v/>
      </c>
    </row>
    <row r="53" spans="3:45" s="190" customFormat="1" x14ac:dyDescent="0.25">
      <c r="C53" s="501"/>
      <c r="D53" s="495"/>
      <c r="E53" s="506" t="s">
        <v>150</v>
      </c>
      <c r="F53" s="507">
        <f>Productenlijst!M54</f>
        <v>0</v>
      </c>
      <c r="G53" s="470"/>
      <c r="H53" s="518">
        <f t="shared" si="90"/>
        <v>0</v>
      </c>
      <c r="I53" s="472">
        <v>0</v>
      </c>
      <c r="J53" s="521" t="s">
        <v>281</v>
      </c>
      <c r="K53" s="522">
        <f t="shared" si="91"/>
        <v>0</v>
      </c>
      <c r="L53" s="523">
        <f t="shared" si="92"/>
        <v>0</v>
      </c>
      <c r="M53" s="524" t="str">
        <f t="shared" ref="M53:M57" si="105">IF(I53&gt;90%,"X","")</f>
        <v/>
      </c>
      <c r="O53" s="541" t="s">
        <v>271</v>
      </c>
      <c r="P53" s="522">
        <f t="shared" si="93"/>
        <v>0</v>
      </c>
      <c r="Q53" s="472">
        <v>0</v>
      </c>
      <c r="R53" s="521" t="s">
        <v>281</v>
      </c>
      <c r="S53" s="522">
        <f t="shared" si="94"/>
        <v>0</v>
      </c>
      <c r="T53" s="523">
        <f t="shared" si="95"/>
        <v>0</v>
      </c>
      <c r="U53" s="524" t="str">
        <f t="shared" ref="U53:U57" si="106">IF(Q53&gt;90%,"X","")</f>
        <v/>
      </c>
      <c r="W53" s="541" t="s">
        <v>271</v>
      </c>
      <c r="X53" s="522">
        <f t="shared" si="96"/>
        <v>0</v>
      </c>
      <c r="Y53" s="472">
        <v>0</v>
      </c>
      <c r="Z53" s="521" t="s">
        <v>281</v>
      </c>
      <c r="AA53" s="522">
        <f t="shared" si="97"/>
        <v>0</v>
      </c>
      <c r="AB53" s="523">
        <f t="shared" si="98"/>
        <v>0</v>
      </c>
      <c r="AC53" s="524" t="str">
        <f t="shared" ref="AC53:AC57" si="107">IF(Y53&gt;90%,"X","")</f>
        <v/>
      </c>
      <c r="AE53" s="541" t="s">
        <v>271</v>
      </c>
      <c r="AF53" s="522">
        <f t="shared" si="99"/>
        <v>0</v>
      </c>
      <c r="AG53" s="472">
        <v>0</v>
      </c>
      <c r="AH53" s="521" t="s">
        <v>281</v>
      </c>
      <c r="AI53" s="522">
        <f t="shared" si="100"/>
        <v>0</v>
      </c>
      <c r="AJ53" s="523">
        <f t="shared" si="101"/>
        <v>0</v>
      </c>
      <c r="AK53" s="524" t="str">
        <f t="shared" ref="AK53:AK57" si="108">IF(AG53&gt;90%,"X","")</f>
        <v/>
      </c>
      <c r="AM53" s="541" t="s">
        <v>271</v>
      </c>
      <c r="AN53" s="522">
        <f t="shared" si="102"/>
        <v>0</v>
      </c>
      <c r="AO53" s="472">
        <v>0</v>
      </c>
      <c r="AP53" s="521" t="s">
        <v>281</v>
      </c>
      <c r="AQ53" s="522">
        <f t="shared" si="103"/>
        <v>0</v>
      </c>
      <c r="AR53" s="523">
        <f t="shared" si="104"/>
        <v>0</v>
      </c>
      <c r="AS53" s="524" t="str">
        <f t="shared" ref="AS53:AS57" si="109">IF(AO53&gt;90%,"X","")</f>
        <v/>
      </c>
    </row>
    <row r="54" spans="3:45" s="190" customFormat="1" x14ac:dyDescent="0.25">
      <c r="C54" s="501"/>
      <c r="D54" s="495"/>
      <c r="E54" s="506" t="s">
        <v>156</v>
      </c>
      <c r="F54" s="507">
        <f>Productenlijst!M55</f>
        <v>0</v>
      </c>
      <c r="G54" s="470"/>
      <c r="H54" s="518">
        <f t="shared" si="90"/>
        <v>0</v>
      </c>
      <c r="I54" s="472">
        <v>0</v>
      </c>
      <c r="J54" s="521" t="s">
        <v>281</v>
      </c>
      <c r="K54" s="522">
        <f t="shared" si="91"/>
        <v>0</v>
      </c>
      <c r="L54" s="523">
        <f t="shared" si="92"/>
        <v>0</v>
      </c>
      <c r="M54" s="524" t="str">
        <f t="shared" si="105"/>
        <v/>
      </c>
      <c r="O54" s="541" t="s">
        <v>276</v>
      </c>
      <c r="P54" s="522">
        <f t="shared" si="93"/>
        <v>0</v>
      </c>
      <c r="Q54" s="472">
        <v>0</v>
      </c>
      <c r="R54" s="521" t="s">
        <v>281</v>
      </c>
      <c r="S54" s="522">
        <f t="shared" si="94"/>
        <v>0</v>
      </c>
      <c r="T54" s="523">
        <f t="shared" si="95"/>
        <v>0</v>
      </c>
      <c r="U54" s="524" t="str">
        <f t="shared" si="106"/>
        <v/>
      </c>
      <c r="W54" s="541" t="s">
        <v>276</v>
      </c>
      <c r="X54" s="522">
        <f t="shared" si="96"/>
        <v>0</v>
      </c>
      <c r="Y54" s="472">
        <v>0</v>
      </c>
      <c r="Z54" s="521" t="s">
        <v>281</v>
      </c>
      <c r="AA54" s="522">
        <f t="shared" si="97"/>
        <v>0</v>
      </c>
      <c r="AB54" s="523">
        <f t="shared" si="98"/>
        <v>0</v>
      </c>
      <c r="AC54" s="524" t="str">
        <f t="shared" si="107"/>
        <v/>
      </c>
      <c r="AE54" s="541" t="s">
        <v>276</v>
      </c>
      <c r="AF54" s="522">
        <f t="shared" si="99"/>
        <v>0</v>
      </c>
      <c r="AG54" s="472">
        <v>0</v>
      </c>
      <c r="AH54" s="521" t="s">
        <v>281</v>
      </c>
      <c r="AI54" s="522">
        <f t="shared" si="100"/>
        <v>0</v>
      </c>
      <c r="AJ54" s="523">
        <f t="shared" si="101"/>
        <v>0</v>
      </c>
      <c r="AK54" s="524" t="str">
        <f t="shared" si="108"/>
        <v/>
      </c>
      <c r="AM54" s="541" t="s">
        <v>276</v>
      </c>
      <c r="AN54" s="522">
        <f t="shared" si="102"/>
        <v>0</v>
      </c>
      <c r="AO54" s="472">
        <v>0</v>
      </c>
      <c r="AP54" s="521" t="s">
        <v>281</v>
      </c>
      <c r="AQ54" s="522">
        <f t="shared" si="103"/>
        <v>0</v>
      </c>
      <c r="AR54" s="523">
        <f t="shared" si="104"/>
        <v>0</v>
      </c>
      <c r="AS54" s="524" t="str">
        <f t="shared" si="109"/>
        <v/>
      </c>
    </row>
    <row r="55" spans="3:45" s="190" customFormat="1" x14ac:dyDescent="0.25">
      <c r="C55" s="501"/>
      <c r="D55" s="495"/>
      <c r="E55" s="506" t="s">
        <v>158</v>
      </c>
      <c r="F55" s="507">
        <f>Productenlijst!M56</f>
        <v>0</v>
      </c>
      <c r="G55" s="470"/>
      <c r="H55" s="518">
        <f t="shared" si="90"/>
        <v>0</v>
      </c>
      <c r="I55" s="472">
        <v>0</v>
      </c>
      <c r="J55" s="521" t="s">
        <v>281</v>
      </c>
      <c r="K55" s="522">
        <f t="shared" si="91"/>
        <v>0</v>
      </c>
      <c r="L55" s="523">
        <f t="shared" si="92"/>
        <v>0</v>
      </c>
      <c r="M55" s="524" t="str">
        <f t="shared" si="105"/>
        <v/>
      </c>
      <c r="O55" s="541" t="s">
        <v>278</v>
      </c>
      <c r="P55" s="522">
        <f t="shared" si="93"/>
        <v>0</v>
      </c>
      <c r="Q55" s="472">
        <v>0</v>
      </c>
      <c r="R55" s="521" t="s">
        <v>281</v>
      </c>
      <c r="S55" s="522">
        <f t="shared" si="94"/>
        <v>0</v>
      </c>
      <c r="T55" s="523">
        <f t="shared" si="95"/>
        <v>0</v>
      </c>
      <c r="U55" s="524" t="str">
        <f t="shared" si="106"/>
        <v/>
      </c>
      <c r="W55" s="541" t="s">
        <v>278</v>
      </c>
      <c r="X55" s="522">
        <f t="shared" si="96"/>
        <v>0</v>
      </c>
      <c r="Y55" s="472">
        <v>0</v>
      </c>
      <c r="Z55" s="521" t="s">
        <v>281</v>
      </c>
      <c r="AA55" s="522">
        <f t="shared" si="97"/>
        <v>0</v>
      </c>
      <c r="AB55" s="523">
        <f t="shared" si="98"/>
        <v>0</v>
      </c>
      <c r="AC55" s="524" t="str">
        <f t="shared" si="107"/>
        <v/>
      </c>
      <c r="AE55" s="541" t="s">
        <v>278</v>
      </c>
      <c r="AF55" s="522">
        <f t="shared" si="99"/>
        <v>0</v>
      </c>
      <c r="AG55" s="472">
        <v>0</v>
      </c>
      <c r="AH55" s="521" t="s">
        <v>281</v>
      </c>
      <c r="AI55" s="522">
        <f t="shared" si="100"/>
        <v>0</v>
      </c>
      <c r="AJ55" s="523">
        <f t="shared" si="101"/>
        <v>0</v>
      </c>
      <c r="AK55" s="524" t="str">
        <f t="shared" si="108"/>
        <v/>
      </c>
      <c r="AM55" s="541" t="s">
        <v>278</v>
      </c>
      <c r="AN55" s="522">
        <f t="shared" si="102"/>
        <v>0</v>
      </c>
      <c r="AO55" s="472">
        <v>0</v>
      </c>
      <c r="AP55" s="521" t="s">
        <v>281</v>
      </c>
      <c r="AQ55" s="522">
        <f t="shared" si="103"/>
        <v>0</v>
      </c>
      <c r="AR55" s="523">
        <f t="shared" si="104"/>
        <v>0</v>
      </c>
      <c r="AS55" s="524" t="str">
        <f t="shared" si="109"/>
        <v/>
      </c>
    </row>
    <row r="56" spans="3:45" s="190" customFormat="1" x14ac:dyDescent="0.25">
      <c r="C56" s="501"/>
      <c r="D56" s="495"/>
      <c r="E56" s="506" t="s">
        <v>168</v>
      </c>
      <c r="F56" s="507">
        <f>Productenlijst!M57</f>
        <v>0</v>
      </c>
      <c r="G56" s="470"/>
      <c r="H56" s="518">
        <f t="shared" si="90"/>
        <v>0</v>
      </c>
      <c r="I56" s="472">
        <v>0</v>
      </c>
      <c r="J56" s="521" t="s">
        <v>281</v>
      </c>
      <c r="K56" s="522">
        <f t="shared" si="91"/>
        <v>0</v>
      </c>
      <c r="L56" s="523">
        <f t="shared" si="92"/>
        <v>0</v>
      </c>
      <c r="M56" s="524" t="str">
        <f t="shared" si="105"/>
        <v/>
      </c>
      <c r="O56" s="541" t="s">
        <v>282</v>
      </c>
      <c r="P56" s="522">
        <f t="shared" si="93"/>
        <v>0</v>
      </c>
      <c r="Q56" s="472">
        <v>0</v>
      </c>
      <c r="R56" s="521" t="s">
        <v>281</v>
      </c>
      <c r="S56" s="522">
        <f t="shared" si="94"/>
        <v>0</v>
      </c>
      <c r="T56" s="523">
        <f t="shared" si="95"/>
        <v>0</v>
      </c>
      <c r="U56" s="524" t="str">
        <f t="shared" si="106"/>
        <v/>
      </c>
      <c r="W56" s="541" t="s">
        <v>282</v>
      </c>
      <c r="X56" s="522">
        <f t="shared" si="96"/>
        <v>0</v>
      </c>
      <c r="Y56" s="472">
        <v>0</v>
      </c>
      <c r="Z56" s="521" t="s">
        <v>281</v>
      </c>
      <c r="AA56" s="522">
        <f t="shared" si="97"/>
        <v>0</v>
      </c>
      <c r="AB56" s="523">
        <f t="shared" si="98"/>
        <v>0</v>
      </c>
      <c r="AC56" s="524" t="str">
        <f t="shared" si="107"/>
        <v/>
      </c>
      <c r="AE56" s="541" t="s">
        <v>282</v>
      </c>
      <c r="AF56" s="522">
        <f t="shared" si="99"/>
        <v>0</v>
      </c>
      <c r="AG56" s="472">
        <v>0</v>
      </c>
      <c r="AH56" s="521" t="s">
        <v>281</v>
      </c>
      <c r="AI56" s="522">
        <f t="shared" si="100"/>
        <v>0</v>
      </c>
      <c r="AJ56" s="523">
        <f t="shared" si="101"/>
        <v>0</v>
      </c>
      <c r="AK56" s="524" t="str">
        <f t="shared" si="108"/>
        <v/>
      </c>
      <c r="AM56" s="541" t="s">
        <v>282</v>
      </c>
      <c r="AN56" s="522">
        <f t="shared" si="102"/>
        <v>0</v>
      </c>
      <c r="AO56" s="472">
        <v>0</v>
      </c>
      <c r="AP56" s="521" t="s">
        <v>281</v>
      </c>
      <c r="AQ56" s="522">
        <f t="shared" si="103"/>
        <v>0</v>
      </c>
      <c r="AR56" s="523">
        <f t="shared" si="104"/>
        <v>0</v>
      </c>
      <c r="AS56" s="524" t="str">
        <f t="shared" si="109"/>
        <v/>
      </c>
    </row>
    <row r="57" spans="3:45" s="190" customFormat="1" x14ac:dyDescent="0.25">
      <c r="C57" s="501"/>
      <c r="D57" s="495"/>
      <c r="E57" s="506" t="s">
        <v>151</v>
      </c>
      <c r="F57" s="507">
        <f>Productenlijst!M58</f>
        <v>0</v>
      </c>
      <c r="G57" s="470"/>
      <c r="H57" s="518">
        <f t="shared" si="90"/>
        <v>0</v>
      </c>
      <c r="I57" s="472">
        <v>0</v>
      </c>
      <c r="J57" s="521" t="s">
        <v>281</v>
      </c>
      <c r="K57" s="522">
        <f t="shared" si="91"/>
        <v>0</v>
      </c>
      <c r="L57" s="523">
        <f t="shared" si="92"/>
        <v>0</v>
      </c>
      <c r="M57" s="524" t="str">
        <f t="shared" si="105"/>
        <v/>
      </c>
      <c r="O57" s="541" t="s">
        <v>272</v>
      </c>
      <c r="P57" s="522">
        <f t="shared" si="93"/>
        <v>0</v>
      </c>
      <c r="Q57" s="472">
        <v>0</v>
      </c>
      <c r="R57" s="521" t="s">
        <v>281</v>
      </c>
      <c r="S57" s="522">
        <f t="shared" si="94"/>
        <v>0</v>
      </c>
      <c r="T57" s="523">
        <f t="shared" si="95"/>
        <v>0</v>
      </c>
      <c r="U57" s="524" t="str">
        <f t="shared" si="106"/>
        <v/>
      </c>
      <c r="W57" s="541" t="s">
        <v>272</v>
      </c>
      <c r="X57" s="522">
        <f t="shared" si="96"/>
        <v>0</v>
      </c>
      <c r="Y57" s="472">
        <v>0</v>
      </c>
      <c r="Z57" s="521" t="s">
        <v>281</v>
      </c>
      <c r="AA57" s="522">
        <f t="shared" si="97"/>
        <v>0</v>
      </c>
      <c r="AB57" s="523">
        <f t="shared" si="98"/>
        <v>0</v>
      </c>
      <c r="AC57" s="524" t="str">
        <f t="shared" si="107"/>
        <v/>
      </c>
      <c r="AE57" s="541" t="s">
        <v>272</v>
      </c>
      <c r="AF57" s="522">
        <f t="shared" si="99"/>
        <v>0</v>
      </c>
      <c r="AG57" s="472">
        <v>0</v>
      </c>
      <c r="AH57" s="521" t="s">
        <v>281</v>
      </c>
      <c r="AI57" s="522">
        <f t="shared" si="100"/>
        <v>0</v>
      </c>
      <c r="AJ57" s="523">
        <f t="shared" si="101"/>
        <v>0</v>
      </c>
      <c r="AK57" s="524" t="str">
        <f t="shared" si="108"/>
        <v/>
      </c>
      <c r="AM57" s="541" t="s">
        <v>272</v>
      </c>
      <c r="AN57" s="522">
        <f t="shared" si="102"/>
        <v>0</v>
      </c>
      <c r="AO57" s="472">
        <v>0</v>
      </c>
      <c r="AP57" s="521" t="s">
        <v>281</v>
      </c>
      <c r="AQ57" s="522">
        <f t="shared" si="103"/>
        <v>0</v>
      </c>
      <c r="AR57" s="523">
        <f t="shared" si="104"/>
        <v>0</v>
      </c>
      <c r="AS57" s="524" t="str">
        <f t="shared" si="109"/>
        <v/>
      </c>
    </row>
    <row r="58" spans="3:45" s="190" customFormat="1" x14ac:dyDescent="0.25">
      <c r="C58" s="501"/>
      <c r="D58" s="495"/>
      <c r="E58" s="506"/>
      <c r="F58" s="507"/>
      <c r="G58" s="470"/>
      <c r="H58" s="518"/>
      <c r="I58" s="495"/>
      <c r="J58" s="498"/>
      <c r="K58" s="522"/>
      <c r="L58" s="523"/>
      <c r="M58" s="496"/>
      <c r="O58" s="537"/>
      <c r="P58" s="522"/>
      <c r="Q58" s="495"/>
      <c r="R58" s="498"/>
      <c r="S58" s="522"/>
      <c r="T58" s="523"/>
      <c r="U58" s="496"/>
      <c r="W58" s="537"/>
      <c r="X58" s="522"/>
      <c r="Y58" s="495"/>
      <c r="Z58" s="498"/>
      <c r="AA58" s="522"/>
      <c r="AB58" s="523"/>
      <c r="AC58" s="496"/>
      <c r="AE58" s="537"/>
      <c r="AF58" s="522"/>
      <c r="AG58" s="495"/>
      <c r="AH58" s="498"/>
      <c r="AI58" s="522"/>
      <c r="AJ58" s="523"/>
      <c r="AK58" s="496"/>
      <c r="AM58" s="537"/>
      <c r="AN58" s="522"/>
      <c r="AO58" s="495"/>
      <c r="AP58" s="498"/>
      <c r="AQ58" s="522"/>
      <c r="AR58" s="523"/>
      <c r="AS58" s="496"/>
    </row>
    <row r="59" spans="3:45" s="190" customFormat="1" x14ac:dyDescent="0.25">
      <c r="C59" s="501" t="s">
        <v>169</v>
      </c>
      <c r="D59" s="495" t="str">
        <f>Productenlijst!C60</f>
        <v>Beeldkwaliteitsplan</v>
      </c>
      <c r="E59" s="506"/>
      <c r="F59" s="512">
        <f>SUM(F60:F63)</f>
        <v>0</v>
      </c>
      <c r="G59" s="470"/>
      <c r="H59" s="497">
        <f>SUM(H60:H63)</f>
        <v>0</v>
      </c>
      <c r="I59" s="495"/>
      <c r="J59" s="498"/>
      <c r="K59" s="499">
        <f>SUM(K60:K63)</f>
        <v>0</v>
      </c>
      <c r="L59" s="500">
        <f>SUM(L60:L63)</f>
        <v>0</v>
      </c>
      <c r="M59" s="496"/>
      <c r="O59" s="537" t="s">
        <v>169</v>
      </c>
      <c r="P59" s="499">
        <f>SUM(P60:P63)</f>
        <v>0</v>
      </c>
      <c r="Q59" s="495"/>
      <c r="R59" s="498"/>
      <c r="S59" s="499">
        <f>SUM(S60:S63)</f>
        <v>0</v>
      </c>
      <c r="T59" s="500">
        <f>SUM(T60:T63)</f>
        <v>0</v>
      </c>
      <c r="U59" s="496"/>
      <c r="W59" s="537" t="s">
        <v>169</v>
      </c>
      <c r="X59" s="499">
        <f>SUM(X60:X63)</f>
        <v>0</v>
      </c>
      <c r="Y59" s="495"/>
      <c r="Z59" s="498"/>
      <c r="AA59" s="499">
        <f>SUM(AA60:AA63)</f>
        <v>0</v>
      </c>
      <c r="AB59" s="500">
        <f>SUM(AB60:AB63)</f>
        <v>0</v>
      </c>
      <c r="AC59" s="496"/>
      <c r="AE59" s="537" t="s">
        <v>169</v>
      </c>
      <c r="AF59" s="499">
        <f>SUM(AF60:AF63)</f>
        <v>0</v>
      </c>
      <c r="AG59" s="495"/>
      <c r="AH59" s="498"/>
      <c r="AI59" s="499">
        <f>SUM(AI60:AI63)</f>
        <v>0</v>
      </c>
      <c r="AJ59" s="500">
        <f>SUM(AJ60:AJ63)</f>
        <v>0</v>
      </c>
      <c r="AK59" s="496"/>
      <c r="AM59" s="537" t="s">
        <v>169</v>
      </c>
      <c r="AN59" s="499">
        <f>SUM(AN60:AN63)</f>
        <v>0</v>
      </c>
      <c r="AO59" s="495"/>
      <c r="AP59" s="498"/>
      <c r="AQ59" s="499">
        <f>SUM(AQ60:AQ63)</f>
        <v>0</v>
      </c>
      <c r="AR59" s="500">
        <f>SUM(AR60:AR63)</f>
        <v>0</v>
      </c>
      <c r="AS59" s="496"/>
    </row>
    <row r="60" spans="3:45" s="190" customFormat="1" x14ac:dyDescent="0.25">
      <c r="C60" s="501"/>
      <c r="D60" s="495"/>
      <c r="E60" s="506" t="s">
        <v>155</v>
      </c>
      <c r="F60" s="507">
        <f>Productenlijst!M61+Productenlijst!M62</f>
        <v>0</v>
      </c>
      <c r="G60" s="470"/>
      <c r="H60" s="518">
        <f>F60*$H$18</f>
        <v>0</v>
      </c>
      <c r="I60" s="472">
        <v>0</v>
      </c>
      <c r="J60" s="521" t="s">
        <v>281</v>
      </c>
      <c r="K60" s="522">
        <f t="shared" ref="K60:K63" si="110">I60*H60</f>
        <v>0</v>
      </c>
      <c r="L60" s="523">
        <f t="shared" ref="L60:L63" si="111">H60-K60</f>
        <v>0</v>
      </c>
      <c r="M60" s="524" t="str">
        <f t="shared" ref="M60:M63" si="112">IF(I60&gt;90%,"X","")</f>
        <v/>
      </c>
      <c r="O60" s="541" t="s">
        <v>275</v>
      </c>
      <c r="P60" s="522">
        <f>F60*$P$18</f>
        <v>0</v>
      </c>
      <c r="Q60" s="472">
        <v>0</v>
      </c>
      <c r="R60" s="521" t="s">
        <v>281</v>
      </c>
      <c r="S60" s="522">
        <f t="shared" ref="S60:S63" si="113">Q60*P60</f>
        <v>0</v>
      </c>
      <c r="T60" s="523">
        <f t="shared" ref="T60:T63" si="114">P60-S60</f>
        <v>0</v>
      </c>
      <c r="U60" s="524" t="str">
        <f t="shared" ref="U60:U63" si="115">IF(Q60&gt;90%,"X","")</f>
        <v/>
      </c>
      <c r="W60" s="541" t="s">
        <v>275</v>
      </c>
      <c r="X60" s="522">
        <f>F60*$X$18</f>
        <v>0</v>
      </c>
      <c r="Y60" s="472">
        <v>0</v>
      </c>
      <c r="Z60" s="521" t="s">
        <v>281</v>
      </c>
      <c r="AA60" s="522">
        <f t="shared" ref="AA60:AA63" si="116">Y60*X60</f>
        <v>0</v>
      </c>
      <c r="AB60" s="523">
        <f t="shared" ref="AB60:AB63" si="117">X60-AA60</f>
        <v>0</v>
      </c>
      <c r="AC60" s="524" t="str">
        <f t="shared" ref="AC60:AC63" si="118">IF(Y60&gt;90%,"X","")</f>
        <v/>
      </c>
      <c r="AE60" s="541" t="s">
        <v>275</v>
      </c>
      <c r="AF60" s="522">
        <f>F60*$AF$18</f>
        <v>0</v>
      </c>
      <c r="AG60" s="472">
        <v>0</v>
      </c>
      <c r="AH60" s="521" t="s">
        <v>281</v>
      </c>
      <c r="AI60" s="522">
        <f t="shared" ref="AI60:AI63" si="119">AG60*AF60</f>
        <v>0</v>
      </c>
      <c r="AJ60" s="523">
        <f t="shared" ref="AJ60:AJ63" si="120">AF60-AI60</f>
        <v>0</v>
      </c>
      <c r="AK60" s="524" t="str">
        <f t="shared" ref="AK60:AK63" si="121">IF(AG60&gt;90%,"X","")</f>
        <v/>
      </c>
      <c r="AM60" s="541" t="s">
        <v>275</v>
      </c>
      <c r="AN60" s="522">
        <f>F60*$AN$18</f>
        <v>0</v>
      </c>
      <c r="AO60" s="472">
        <v>0</v>
      </c>
      <c r="AP60" s="521" t="s">
        <v>281</v>
      </c>
      <c r="AQ60" s="522">
        <f>AO60*AN60</f>
        <v>0</v>
      </c>
      <c r="AR60" s="523">
        <f t="shared" ref="AR60:AR63" si="122">AN60-AQ60</f>
        <v>0</v>
      </c>
      <c r="AS60" s="524" t="str">
        <f>IF(AO60&gt;90%,"X","")</f>
        <v/>
      </c>
    </row>
    <row r="61" spans="3:45" s="190" customFormat="1" x14ac:dyDescent="0.25">
      <c r="C61" s="501"/>
      <c r="D61" s="495"/>
      <c r="E61" s="506" t="s">
        <v>150</v>
      </c>
      <c r="F61" s="507">
        <f>Productenlijst!M63</f>
        <v>0</v>
      </c>
      <c r="G61" s="470"/>
      <c r="H61" s="518">
        <f>F61*$H$18</f>
        <v>0</v>
      </c>
      <c r="I61" s="472">
        <v>0</v>
      </c>
      <c r="J61" s="521" t="s">
        <v>281</v>
      </c>
      <c r="K61" s="522">
        <f t="shared" si="110"/>
        <v>0</v>
      </c>
      <c r="L61" s="523">
        <f t="shared" si="111"/>
        <v>0</v>
      </c>
      <c r="M61" s="524" t="str">
        <f t="shared" si="112"/>
        <v/>
      </c>
      <c r="O61" s="541" t="s">
        <v>271</v>
      </c>
      <c r="P61" s="522">
        <f>F61*$P$18</f>
        <v>0</v>
      </c>
      <c r="Q61" s="472">
        <v>0</v>
      </c>
      <c r="R61" s="521" t="s">
        <v>281</v>
      </c>
      <c r="S61" s="522">
        <f t="shared" si="113"/>
        <v>0</v>
      </c>
      <c r="T61" s="523">
        <f t="shared" si="114"/>
        <v>0</v>
      </c>
      <c r="U61" s="524" t="str">
        <f t="shared" si="115"/>
        <v/>
      </c>
      <c r="W61" s="541" t="s">
        <v>271</v>
      </c>
      <c r="X61" s="522">
        <f>F61*$X$18</f>
        <v>0</v>
      </c>
      <c r="Y61" s="472">
        <v>0</v>
      </c>
      <c r="Z61" s="521" t="s">
        <v>281</v>
      </c>
      <c r="AA61" s="522">
        <f t="shared" si="116"/>
        <v>0</v>
      </c>
      <c r="AB61" s="523">
        <f t="shared" si="117"/>
        <v>0</v>
      </c>
      <c r="AC61" s="524" t="str">
        <f t="shared" si="118"/>
        <v/>
      </c>
      <c r="AE61" s="541" t="s">
        <v>271</v>
      </c>
      <c r="AF61" s="522">
        <f>F61*$AF$18</f>
        <v>0</v>
      </c>
      <c r="AG61" s="472">
        <v>0</v>
      </c>
      <c r="AH61" s="521" t="s">
        <v>281</v>
      </c>
      <c r="AI61" s="522">
        <f t="shared" si="119"/>
        <v>0</v>
      </c>
      <c r="AJ61" s="523">
        <f t="shared" si="120"/>
        <v>0</v>
      </c>
      <c r="AK61" s="524" t="str">
        <f t="shared" si="121"/>
        <v/>
      </c>
      <c r="AM61" s="541" t="s">
        <v>271</v>
      </c>
      <c r="AN61" s="522">
        <f>F61*$AN$18</f>
        <v>0</v>
      </c>
      <c r="AO61" s="472">
        <v>0</v>
      </c>
      <c r="AP61" s="521" t="s">
        <v>281</v>
      </c>
      <c r="AQ61" s="522">
        <f t="shared" ref="AQ61:AQ63" si="123">AO61*AN61</f>
        <v>0</v>
      </c>
      <c r="AR61" s="523">
        <f t="shared" si="122"/>
        <v>0</v>
      </c>
      <c r="AS61" s="524" t="str">
        <f t="shared" ref="AS61:AS63" si="124">IF(AO61&gt;90%,"X","")</f>
        <v/>
      </c>
    </row>
    <row r="62" spans="3:45" s="190" customFormat="1" x14ac:dyDescent="0.25">
      <c r="C62" s="501"/>
      <c r="D62" s="495"/>
      <c r="E62" s="506" t="s">
        <v>156</v>
      </c>
      <c r="F62" s="507">
        <f>Productenlijst!M64</f>
        <v>0</v>
      </c>
      <c r="G62" s="470"/>
      <c r="H62" s="518">
        <f>F62*$H$18</f>
        <v>0</v>
      </c>
      <c r="I62" s="472">
        <v>0</v>
      </c>
      <c r="J62" s="521" t="s">
        <v>281</v>
      </c>
      <c r="K62" s="522">
        <f t="shared" si="110"/>
        <v>0</v>
      </c>
      <c r="L62" s="523">
        <f t="shared" si="111"/>
        <v>0</v>
      </c>
      <c r="M62" s="524" t="str">
        <f t="shared" si="112"/>
        <v/>
      </c>
      <c r="O62" s="541" t="s">
        <v>276</v>
      </c>
      <c r="P62" s="522">
        <f>F62*$P$18</f>
        <v>0</v>
      </c>
      <c r="Q62" s="472">
        <v>0</v>
      </c>
      <c r="R62" s="521" t="s">
        <v>281</v>
      </c>
      <c r="S62" s="522">
        <f t="shared" si="113"/>
        <v>0</v>
      </c>
      <c r="T62" s="523">
        <f t="shared" si="114"/>
        <v>0</v>
      </c>
      <c r="U62" s="524" t="str">
        <f t="shared" si="115"/>
        <v/>
      </c>
      <c r="W62" s="541" t="s">
        <v>276</v>
      </c>
      <c r="X62" s="522">
        <f>F62*$X$18</f>
        <v>0</v>
      </c>
      <c r="Y62" s="472">
        <v>0</v>
      </c>
      <c r="Z62" s="521" t="s">
        <v>281</v>
      </c>
      <c r="AA62" s="522">
        <f t="shared" si="116"/>
        <v>0</v>
      </c>
      <c r="AB62" s="523">
        <f t="shared" si="117"/>
        <v>0</v>
      </c>
      <c r="AC62" s="524" t="str">
        <f t="shared" si="118"/>
        <v/>
      </c>
      <c r="AE62" s="541" t="s">
        <v>276</v>
      </c>
      <c r="AF62" s="522">
        <f>F62*$AF$18</f>
        <v>0</v>
      </c>
      <c r="AG62" s="472">
        <v>0</v>
      </c>
      <c r="AH62" s="521" t="s">
        <v>281</v>
      </c>
      <c r="AI62" s="522">
        <f t="shared" si="119"/>
        <v>0</v>
      </c>
      <c r="AJ62" s="523">
        <f t="shared" si="120"/>
        <v>0</v>
      </c>
      <c r="AK62" s="524" t="str">
        <f t="shared" si="121"/>
        <v/>
      </c>
      <c r="AM62" s="541" t="s">
        <v>276</v>
      </c>
      <c r="AN62" s="522">
        <f>F62*$AN$18</f>
        <v>0</v>
      </c>
      <c r="AO62" s="472">
        <v>0</v>
      </c>
      <c r="AP62" s="521" t="s">
        <v>281</v>
      </c>
      <c r="AQ62" s="522">
        <f t="shared" si="123"/>
        <v>0</v>
      </c>
      <c r="AR62" s="523">
        <f t="shared" si="122"/>
        <v>0</v>
      </c>
      <c r="AS62" s="524" t="str">
        <f t="shared" si="124"/>
        <v/>
      </c>
    </row>
    <row r="63" spans="3:45" s="190" customFormat="1" x14ac:dyDescent="0.25">
      <c r="C63" s="501"/>
      <c r="D63" s="495"/>
      <c r="E63" s="506" t="s">
        <v>151</v>
      </c>
      <c r="F63" s="507">
        <f>Productenlijst!M65</f>
        <v>0</v>
      </c>
      <c r="G63" s="470"/>
      <c r="H63" s="518">
        <f>F63*$H$18</f>
        <v>0</v>
      </c>
      <c r="I63" s="472">
        <v>0</v>
      </c>
      <c r="J63" s="521" t="s">
        <v>281</v>
      </c>
      <c r="K63" s="522">
        <f t="shared" si="110"/>
        <v>0</v>
      </c>
      <c r="L63" s="523">
        <f t="shared" si="111"/>
        <v>0</v>
      </c>
      <c r="M63" s="524" t="str">
        <f t="shared" si="112"/>
        <v/>
      </c>
      <c r="O63" s="541" t="s">
        <v>272</v>
      </c>
      <c r="P63" s="522">
        <f>F63*$P$18</f>
        <v>0</v>
      </c>
      <c r="Q63" s="472">
        <v>0</v>
      </c>
      <c r="R63" s="521" t="s">
        <v>281</v>
      </c>
      <c r="S63" s="522">
        <f t="shared" si="113"/>
        <v>0</v>
      </c>
      <c r="T63" s="523">
        <f t="shared" si="114"/>
        <v>0</v>
      </c>
      <c r="U63" s="524" t="str">
        <f t="shared" si="115"/>
        <v/>
      </c>
      <c r="W63" s="541" t="s">
        <v>272</v>
      </c>
      <c r="X63" s="522">
        <f>F63*$X$18</f>
        <v>0</v>
      </c>
      <c r="Y63" s="472">
        <v>0</v>
      </c>
      <c r="Z63" s="521" t="s">
        <v>281</v>
      </c>
      <c r="AA63" s="522">
        <f t="shared" si="116"/>
        <v>0</v>
      </c>
      <c r="AB63" s="523">
        <f t="shared" si="117"/>
        <v>0</v>
      </c>
      <c r="AC63" s="524" t="str">
        <f t="shared" si="118"/>
        <v/>
      </c>
      <c r="AE63" s="541" t="s">
        <v>272</v>
      </c>
      <c r="AF63" s="522">
        <f>F63*$AF$18</f>
        <v>0</v>
      </c>
      <c r="AG63" s="472">
        <v>0</v>
      </c>
      <c r="AH63" s="521" t="s">
        <v>281</v>
      </c>
      <c r="AI63" s="522">
        <f t="shared" si="119"/>
        <v>0</v>
      </c>
      <c r="AJ63" s="523">
        <f t="shared" si="120"/>
        <v>0</v>
      </c>
      <c r="AK63" s="524" t="str">
        <f t="shared" si="121"/>
        <v/>
      </c>
      <c r="AM63" s="541" t="s">
        <v>272</v>
      </c>
      <c r="AN63" s="522">
        <f>F63*$AN$18</f>
        <v>0</v>
      </c>
      <c r="AO63" s="472">
        <v>0</v>
      </c>
      <c r="AP63" s="521" t="s">
        <v>281</v>
      </c>
      <c r="AQ63" s="522">
        <f t="shared" si="123"/>
        <v>0</v>
      </c>
      <c r="AR63" s="523">
        <f t="shared" si="122"/>
        <v>0</v>
      </c>
      <c r="AS63" s="524" t="str">
        <f t="shared" si="124"/>
        <v/>
      </c>
    </row>
    <row r="64" spans="3:45" s="190" customFormat="1" x14ac:dyDescent="0.25">
      <c r="C64" s="501"/>
      <c r="D64" s="495"/>
      <c r="E64" s="506"/>
      <c r="F64" s="507"/>
      <c r="G64" s="470"/>
      <c r="H64" s="518"/>
      <c r="I64" s="495"/>
      <c r="J64" s="498"/>
      <c r="K64" s="522"/>
      <c r="L64" s="523"/>
      <c r="M64" s="496"/>
      <c r="O64" s="537"/>
      <c r="P64" s="522"/>
      <c r="Q64" s="495"/>
      <c r="R64" s="498"/>
      <c r="S64" s="522"/>
      <c r="T64" s="523"/>
      <c r="U64" s="496"/>
      <c r="W64" s="537"/>
      <c r="X64" s="522"/>
      <c r="Y64" s="495"/>
      <c r="Z64" s="498"/>
      <c r="AA64" s="522"/>
      <c r="AB64" s="523"/>
      <c r="AC64" s="496"/>
      <c r="AE64" s="537"/>
      <c r="AF64" s="522"/>
      <c r="AG64" s="495"/>
      <c r="AH64" s="498"/>
      <c r="AI64" s="522"/>
      <c r="AJ64" s="523"/>
      <c r="AK64" s="496"/>
      <c r="AM64" s="537"/>
      <c r="AN64" s="522"/>
      <c r="AO64" s="495"/>
      <c r="AP64" s="498"/>
      <c r="AQ64" s="522"/>
      <c r="AR64" s="523"/>
      <c r="AS64" s="496"/>
    </row>
    <row r="65" spans="3:45" s="190" customFormat="1" x14ac:dyDescent="0.25">
      <c r="C65" s="501" t="s">
        <v>172</v>
      </c>
      <c r="D65" s="495" t="str">
        <f>Productenlijst!C72</f>
        <v>A. Taxatie inbrengwaarde percelen</v>
      </c>
      <c r="E65" s="513" t="s">
        <v>283</v>
      </c>
      <c r="F65" s="504">
        <f>SUM(F66:F69)</f>
        <v>0</v>
      </c>
      <c r="G65" s="470"/>
      <c r="H65" s="497">
        <f>SUM(H66:H69)</f>
        <v>0</v>
      </c>
      <c r="I65" s="495"/>
      <c r="J65" s="498"/>
      <c r="K65" s="499">
        <f>SUM(K66:K69)</f>
        <v>0</v>
      </c>
      <c r="L65" s="500">
        <f>SUM(L66:L69)</f>
        <v>0</v>
      </c>
      <c r="M65" s="496"/>
      <c r="O65" s="537" t="s">
        <v>172</v>
      </c>
      <c r="P65" s="499">
        <f>SUM(P66:P69)</f>
        <v>0</v>
      </c>
      <c r="Q65" s="495"/>
      <c r="R65" s="498"/>
      <c r="S65" s="499">
        <f>SUM(S66:S69)</f>
        <v>0</v>
      </c>
      <c r="T65" s="500">
        <f>SUM(T66:T69)</f>
        <v>0</v>
      </c>
      <c r="U65" s="496"/>
      <c r="W65" s="537" t="s">
        <v>172</v>
      </c>
      <c r="X65" s="499">
        <f>SUM(X66:X69)</f>
        <v>0</v>
      </c>
      <c r="Y65" s="495"/>
      <c r="Z65" s="498"/>
      <c r="AA65" s="499">
        <f>SUM(AA66:AA69)</f>
        <v>0</v>
      </c>
      <c r="AB65" s="500">
        <f>SUM(AB66:AB69)</f>
        <v>0</v>
      </c>
      <c r="AC65" s="496"/>
      <c r="AE65" s="537" t="s">
        <v>172</v>
      </c>
      <c r="AF65" s="499">
        <f>SUM(AF66:AF69)</f>
        <v>0</v>
      </c>
      <c r="AG65" s="495"/>
      <c r="AH65" s="498"/>
      <c r="AI65" s="499">
        <f>SUM(AI66:AI69)</f>
        <v>0</v>
      </c>
      <c r="AJ65" s="500">
        <f>SUM(AJ66:AJ69)</f>
        <v>0</v>
      </c>
      <c r="AK65" s="496"/>
      <c r="AM65" s="537" t="s">
        <v>172</v>
      </c>
      <c r="AN65" s="499">
        <f>SUM(AN66:AN69)</f>
        <v>0</v>
      </c>
      <c r="AO65" s="495"/>
      <c r="AP65" s="498"/>
      <c r="AQ65" s="499">
        <f>SUM(AQ66:AQ69)</f>
        <v>0</v>
      </c>
      <c r="AR65" s="500">
        <f>SUM(AR66:AR69)</f>
        <v>0</v>
      </c>
      <c r="AS65" s="496"/>
    </row>
    <row r="66" spans="3:45" s="190" customFormat="1" x14ac:dyDescent="0.25">
      <c r="C66" s="501"/>
      <c r="D66" s="495"/>
      <c r="E66" s="506" t="s">
        <v>176</v>
      </c>
      <c r="F66" s="507">
        <f>Productenlijst!M73+Productenlijst!M74</f>
        <v>0</v>
      </c>
      <c r="G66" s="470"/>
      <c r="H66" s="518">
        <f>F66*$H$18</f>
        <v>0</v>
      </c>
      <c r="I66" s="472">
        <v>0</v>
      </c>
      <c r="J66" s="521" t="s">
        <v>281</v>
      </c>
      <c r="K66" s="522">
        <f t="shared" ref="K66:K69" si="125">I66*H66</f>
        <v>0</v>
      </c>
      <c r="L66" s="523">
        <f t="shared" ref="L66:L69" si="126">H66-K66</f>
        <v>0</v>
      </c>
      <c r="M66" s="524" t="str">
        <f t="shared" ref="M66:M69" si="127">IF(I66&gt;90%,"X","")</f>
        <v/>
      </c>
      <c r="O66" s="541" t="s">
        <v>284</v>
      </c>
      <c r="P66" s="522">
        <f>F66*$P$18</f>
        <v>0</v>
      </c>
      <c r="Q66" s="472">
        <v>0</v>
      </c>
      <c r="R66" s="521" t="s">
        <v>281</v>
      </c>
      <c r="S66" s="522">
        <f t="shared" ref="S66:S69" si="128">Q66*P66</f>
        <v>0</v>
      </c>
      <c r="T66" s="523">
        <f t="shared" ref="T66:T69" si="129">P66-S66</f>
        <v>0</v>
      </c>
      <c r="U66" s="524" t="str">
        <f t="shared" ref="U66:U69" si="130">IF(Q66&gt;90%,"X","")</f>
        <v/>
      </c>
      <c r="W66" s="541" t="s">
        <v>284</v>
      </c>
      <c r="X66" s="522">
        <f>F66*$X$18</f>
        <v>0</v>
      </c>
      <c r="Y66" s="472">
        <v>0</v>
      </c>
      <c r="Z66" s="521" t="s">
        <v>281</v>
      </c>
      <c r="AA66" s="522">
        <f t="shared" ref="AA66:AA69" si="131">Y66*X66</f>
        <v>0</v>
      </c>
      <c r="AB66" s="523">
        <f t="shared" ref="AB66:AB69" si="132">X66-AA66</f>
        <v>0</v>
      </c>
      <c r="AC66" s="524" t="str">
        <f t="shared" ref="AC66:AC69" si="133">IF(Y66&gt;90%,"X","")</f>
        <v/>
      </c>
      <c r="AE66" s="541" t="s">
        <v>284</v>
      </c>
      <c r="AF66" s="522">
        <f>F66*$AF$18</f>
        <v>0</v>
      </c>
      <c r="AG66" s="472">
        <v>0</v>
      </c>
      <c r="AH66" s="521" t="s">
        <v>281</v>
      </c>
      <c r="AI66" s="522">
        <f t="shared" ref="AI66:AI69" si="134">AG66*AF66</f>
        <v>0</v>
      </c>
      <c r="AJ66" s="523">
        <f t="shared" ref="AJ66:AJ69" si="135">AF66-AI66</f>
        <v>0</v>
      </c>
      <c r="AK66" s="524" t="str">
        <f t="shared" ref="AK66:AK69" si="136">IF(AG66&gt;90%,"X","")</f>
        <v/>
      </c>
      <c r="AM66" s="541" t="s">
        <v>284</v>
      </c>
      <c r="AN66" s="522">
        <f>F66*$AN$18</f>
        <v>0</v>
      </c>
      <c r="AO66" s="472">
        <v>0</v>
      </c>
      <c r="AP66" s="521" t="s">
        <v>281</v>
      </c>
      <c r="AQ66" s="522">
        <f t="shared" ref="AQ66:AQ69" si="137">AO66*AN66</f>
        <v>0</v>
      </c>
      <c r="AR66" s="523">
        <f t="shared" ref="AR66:AR69" si="138">AN66-AQ66</f>
        <v>0</v>
      </c>
      <c r="AS66" s="524" t="str">
        <f t="shared" ref="AS66:AS69" si="139">IF(AO66&gt;90%,"X","")</f>
        <v/>
      </c>
    </row>
    <row r="67" spans="3:45" s="190" customFormat="1" x14ac:dyDescent="0.25">
      <c r="C67" s="501"/>
      <c r="D67" s="495"/>
      <c r="E67" s="506" t="s">
        <v>156</v>
      </c>
      <c r="F67" s="507">
        <f>Productenlijst!M75</f>
        <v>0</v>
      </c>
      <c r="G67" s="470"/>
      <c r="H67" s="518">
        <f>F67*$H$18</f>
        <v>0</v>
      </c>
      <c r="I67" s="472">
        <v>0</v>
      </c>
      <c r="J67" s="521" t="s">
        <v>281</v>
      </c>
      <c r="K67" s="522">
        <f t="shared" si="125"/>
        <v>0</v>
      </c>
      <c r="L67" s="523">
        <f t="shared" si="126"/>
        <v>0</v>
      </c>
      <c r="M67" s="524" t="str">
        <f t="shared" si="127"/>
        <v/>
      </c>
      <c r="O67" s="541" t="s">
        <v>276</v>
      </c>
      <c r="P67" s="522">
        <f>F67*$P$18</f>
        <v>0</v>
      </c>
      <c r="Q67" s="472">
        <v>0</v>
      </c>
      <c r="R67" s="521" t="s">
        <v>281</v>
      </c>
      <c r="S67" s="522">
        <f t="shared" si="128"/>
        <v>0</v>
      </c>
      <c r="T67" s="523">
        <f t="shared" si="129"/>
        <v>0</v>
      </c>
      <c r="U67" s="524" t="str">
        <f t="shared" si="130"/>
        <v/>
      </c>
      <c r="W67" s="541" t="s">
        <v>276</v>
      </c>
      <c r="X67" s="522">
        <f>F67*$X$18</f>
        <v>0</v>
      </c>
      <c r="Y67" s="472">
        <v>0</v>
      </c>
      <c r="Z67" s="521" t="s">
        <v>281</v>
      </c>
      <c r="AA67" s="522">
        <f t="shared" si="131"/>
        <v>0</v>
      </c>
      <c r="AB67" s="523">
        <f t="shared" si="132"/>
        <v>0</v>
      </c>
      <c r="AC67" s="524" t="str">
        <f t="shared" si="133"/>
        <v/>
      </c>
      <c r="AE67" s="541" t="s">
        <v>276</v>
      </c>
      <c r="AF67" s="522">
        <f>F67*$AF$18</f>
        <v>0</v>
      </c>
      <c r="AG67" s="472">
        <v>0</v>
      </c>
      <c r="AH67" s="521" t="s">
        <v>281</v>
      </c>
      <c r="AI67" s="522">
        <f t="shared" si="134"/>
        <v>0</v>
      </c>
      <c r="AJ67" s="523">
        <f t="shared" si="135"/>
        <v>0</v>
      </c>
      <c r="AK67" s="524" t="str">
        <f t="shared" si="136"/>
        <v/>
      </c>
      <c r="AM67" s="541" t="s">
        <v>276</v>
      </c>
      <c r="AN67" s="522">
        <f>F67*$AN$18</f>
        <v>0</v>
      </c>
      <c r="AO67" s="472">
        <v>0</v>
      </c>
      <c r="AP67" s="521" t="s">
        <v>281</v>
      </c>
      <c r="AQ67" s="522">
        <f t="shared" si="137"/>
        <v>0</v>
      </c>
      <c r="AR67" s="523">
        <f t="shared" si="138"/>
        <v>0</v>
      </c>
      <c r="AS67" s="524" t="str">
        <f t="shared" si="139"/>
        <v/>
      </c>
    </row>
    <row r="68" spans="3:45" s="190" customFormat="1" x14ac:dyDescent="0.25">
      <c r="C68" s="501"/>
      <c r="D68" s="495"/>
      <c r="E68" s="506" t="s">
        <v>150</v>
      </c>
      <c r="F68" s="507">
        <f>Productenlijst!M76</f>
        <v>0</v>
      </c>
      <c r="G68" s="470"/>
      <c r="H68" s="518">
        <f>F68*$H$18</f>
        <v>0</v>
      </c>
      <c r="I68" s="472">
        <v>0</v>
      </c>
      <c r="J68" s="521" t="s">
        <v>281</v>
      </c>
      <c r="K68" s="522">
        <f t="shared" si="125"/>
        <v>0</v>
      </c>
      <c r="L68" s="523">
        <f t="shared" si="126"/>
        <v>0</v>
      </c>
      <c r="M68" s="524" t="str">
        <f t="shared" si="127"/>
        <v/>
      </c>
      <c r="O68" s="541" t="s">
        <v>271</v>
      </c>
      <c r="P68" s="522">
        <f>F68*$P$18</f>
        <v>0</v>
      </c>
      <c r="Q68" s="472">
        <v>0</v>
      </c>
      <c r="R68" s="521" t="s">
        <v>281</v>
      </c>
      <c r="S68" s="522">
        <f t="shared" si="128"/>
        <v>0</v>
      </c>
      <c r="T68" s="523">
        <f t="shared" si="129"/>
        <v>0</v>
      </c>
      <c r="U68" s="524" t="str">
        <f t="shared" si="130"/>
        <v/>
      </c>
      <c r="W68" s="541" t="s">
        <v>271</v>
      </c>
      <c r="X68" s="522">
        <f>F68*$X$18</f>
        <v>0</v>
      </c>
      <c r="Y68" s="472">
        <v>0</v>
      </c>
      <c r="Z68" s="521" t="s">
        <v>281</v>
      </c>
      <c r="AA68" s="522">
        <f t="shared" si="131"/>
        <v>0</v>
      </c>
      <c r="AB68" s="523">
        <f t="shared" si="132"/>
        <v>0</v>
      </c>
      <c r="AC68" s="524" t="str">
        <f t="shared" si="133"/>
        <v/>
      </c>
      <c r="AE68" s="541" t="s">
        <v>271</v>
      </c>
      <c r="AF68" s="522">
        <f>F68*$AF$18</f>
        <v>0</v>
      </c>
      <c r="AG68" s="472">
        <v>0</v>
      </c>
      <c r="AH68" s="521" t="s">
        <v>281</v>
      </c>
      <c r="AI68" s="522">
        <f t="shared" si="134"/>
        <v>0</v>
      </c>
      <c r="AJ68" s="523">
        <f t="shared" si="135"/>
        <v>0</v>
      </c>
      <c r="AK68" s="524" t="str">
        <f t="shared" si="136"/>
        <v/>
      </c>
      <c r="AM68" s="541" t="s">
        <v>271</v>
      </c>
      <c r="AN68" s="522">
        <f>F68*$AN$18</f>
        <v>0</v>
      </c>
      <c r="AO68" s="472">
        <v>0</v>
      </c>
      <c r="AP68" s="521" t="s">
        <v>281</v>
      </c>
      <c r="AQ68" s="522">
        <f t="shared" si="137"/>
        <v>0</v>
      </c>
      <c r="AR68" s="523">
        <f t="shared" si="138"/>
        <v>0</v>
      </c>
      <c r="AS68" s="524" t="str">
        <f t="shared" si="139"/>
        <v/>
      </c>
    </row>
    <row r="69" spans="3:45" s="190" customFormat="1" x14ac:dyDescent="0.25">
      <c r="C69" s="501"/>
      <c r="D69" s="495"/>
      <c r="E69" s="506" t="s">
        <v>151</v>
      </c>
      <c r="F69" s="507">
        <f>Productenlijst!M77</f>
        <v>0</v>
      </c>
      <c r="G69" s="470"/>
      <c r="H69" s="518">
        <f>F69*$H$18</f>
        <v>0</v>
      </c>
      <c r="I69" s="472">
        <v>0</v>
      </c>
      <c r="J69" s="521" t="s">
        <v>281</v>
      </c>
      <c r="K69" s="522">
        <f t="shared" si="125"/>
        <v>0</v>
      </c>
      <c r="L69" s="523">
        <f t="shared" si="126"/>
        <v>0</v>
      </c>
      <c r="M69" s="524" t="str">
        <f t="shared" si="127"/>
        <v/>
      </c>
      <c r="O69" s="541" t="s">
        <v>272</v>
      </c>
      <c r="P69" s="522">
        <f>F69*$P$18</f>
        <v>0</v>
      </c>
      <c r="Q69" s="472">
        <v>0</v>
      </c>
      <c r="R69" s="521" t="s">
        <v>281</v>
      </c>
      <c r="S69" s="522">
        <f t="shared" si="128"/>
        <v>0</v>
      </c>
      <c r="T69" s="523">
        <f t="shared" si="129"/>
        <v>0</v>
      </c>
      <c r="U69" s="524" t="str">
        <f t="shared" si="130"/>
        <v/>
      </c>
      <c r="W69" s="541" t="s">
        <v>272</v>
      </c>
      <c r="X69" s="522">
        <f>F69*$X$18</f>
        <v>0</v>
      </c>
      <c r="Y69" s="472">
        <v>0</v>
      </c>
      <c r="Z69" s="521" t="s">
        <v>281</v>
      </c>
      <c r="AA69" s="522">
        <f t="shared" si="131"/>
        <v>0</v>
      </c>
      <c r="AB69" s="523">
        <f t="shared" si="132"/>
        <v>0</v>
      </c>
      <c r="AC69" s="524" t="str">
        <f t="shared" si="133"/>
        <v/>
      </c>
      <c r="AE69" s="541" t="s">
        <v>272</v>
      </c>
      <c r="AF69" s="522">
        <f>F69*$AF$18</f>
        <v>0</v>
      </c>
      <c r="AG69" s="472">
        <v>0</v>
      </c>
      <c r="AH69" s="521" t="s">
        <v>281</v>
      </c>
      <c r="AI69" s="522">
        <f t="shared" si="134"/>
        <v>0</v>
      </c>
      <c r="AJ69" s="523">
        <f t="shared" si="135"/>
        <v>0</v>
      </c>
      <c r="AK69" s="524" t="str">
        <f t="shared" si="136"/>
        <v/>
      </c>
      <c r="AM69" s="541" t="s">
        <v>272</v>
      </c>
      <c r="AN69" s="522">
        <f>F69*$AN$18</f>
        <v>0</v>
      </c>
      <c r="AO69" s="472">
        <v>0</v>
      </c>
      <c r="AP69" s="521" t="s">
        <v>281</v>
      </c>
      <c r="AQ69" s="522">
        <f t="shared" si="137"/>
        <v>0</v>
      </c>
      <c r="AR69" s="523">
        <f t="shared" si="138"/>
        <v>0</v>
      </c>
      <c r="AS69" s="524" t="str">
        <f t="shared" si="139"/>
        <v/>
      </c>
    </row>
    <row r="70" spans="3:45" s="190" customFormat="1" x14ac:dyDescent="0.25">
      <c r="C70" s="501"/>
      <c r="D70" s="495"/>
      <c r="E70" s="506"/>
      <c r="F70" s="507"/>
      <c r="G70" s="470"/>
      <c r="H70" s="518"/>
      <c r="I70" s="495"/>
      <c r="J70" s="498"/>
      <c r="K70" s="522"/>
      <c r="L70" s="523"/>
      <c r="M70" s="496"/>
      <c r="O70" s="541"/>
      <c r="P70" s="522"/>
      <c r="Q70" s="495"/>
      <c r="R70" s="498"/>
      <c r="S70" s="522"/>
      <c r="T70" s="523"/>
      <c r="U70" s="496"/>
      <c r="W70" s="541"/>
      <c r="X70" s="522"/>
      <c r="Y70" s="495"/>
      <c r="Z70" s="498"/>
      <c r="AA70" s="522"/>
      <c r="AB70" s="523"/>
      <c r="AC70" s="496"/>
      <c r="AE70" s="541"/>
      <c r="AF70" s="522"/>
      <c r="AG70" s="495"/>
      <c r="AH70" s="498"/>
      <c r="AI70" s="522"/>
      <c r="AJ70" s="523"/>
      <c r="AK70" s="496"/>
      <c r="AM70" s="541"/>
      <c r="AN70" s="522"/>
      <c r="AO70" s="495"/>
      <c r="AP70" s="498"/>
      <c r="AQ70" s="522"/>
      <c r="AR70" s="523"/>
      <c r="AS70" s="496"/>
    </row>
    <row r="71" spans="3:45" s="190" customFormat="1" x14ac:dyDescent="0.25">
      <c r="C71" s="501"/>
      <c r="D71" s="495"/>
      <c r="E71" s="513" t="s">
        <v>285</v>
      </c>
      <c r="F71" s="504">
        <f>SUM(F72:F74)</f>
        <v>0</v>
      </c>
      <c r="G71" s="470"/>
      <c r="H71" s="497">
        <f>SUM(H72:H74)</f>
        <v>0</v>
      </c>
      <c r="I71" s="495"/>
      <c r="J71" s="498"/>
      <c r="K71" s="499">
        <f>SUM(K72:K74)</f>
        <v>0</v>
      </c>
      <c r="L71" s="500">
        <f>SUM(L72:L74)</f>
        <v>0</v>
      </c>
      <c r="M71" s="496"/>
      <c r="O71" s="541"/>
      <c r="P71" s="499">
        <f>SUM(P72:P74)</f>
        <v>0</v>
      </c>
      <c r="Q71" s="495"/>
      <c r="R71" s="498"/>
      <c r="S71" s="499">
        <f>SUM(S72:S74)</f>
        <v>0</v>
      </c>
      <c r="T71" s="500">
        <f>SUM(T72:T74)</f>
        <v>0</v>
      </c>
      <c r="U71" s="496"/>
      <c r="W71" s="541"/>
      <c r="X71" s="499">
        <f>SUM(X72:X74)</f>
        <v>0</v>
      </c>
      <c r="Y71" s="495"/>
      <c r="Z71" s="498"/>
      <c r="AA71" s="499">
        <f>SUM(AA72:AA74)</f>
        <v>0</v>
      </c>
      <c r="AB71" s="500">
        <f>SUM(AB72:AB74)</f>
        <v>0</v>
      </c>
      <c r="AC71" s="496"/>
      <c r="AE71" s="541"/>
      <c r="AF71" s="499">
        <f>SUM(AF72:AF74)</f>
        <v>0</v>
      </c>
      <c r="AG71" s="495"/>
      <c r="AH71" s="498"/>
      <c r="AI71" s="499">
        <f>SUM(AI72:AI74)</f>
        <v>0</v>
      </c>
      <c r="AJ71" s="500">
        <f>SUM(AJ72:AJ74)</f>
        <v>0</v>
      </c>
      <c r="AK71" s="496"/>
      <c r="AM71" s="541"/>
      <c r="AN71" s="499">
        <f>SUM(AN72:AN74)</f>
        <v>0</v>
      </c>
      <c r="AO71" s="495"/>
      <c r="AP71" s="498"/>
      <c r="AQ71" s="499">
        <f>SUM(AQ72:AQ74)</f>
        <v>0</v>
      </c>
      <c r="AR71" s="500">
        <f>SUM(AR72:AR74)</f>
        <v>0</v>
      </c>
      <c r="AS71" s="496"/>
    </row>
    <row r="72" spans="3:45" s="190" customFormat="1" x14ac:dyDescent="0.25">
      <c r="C72" s="501"/>
      <c r="D72" s="495"/>
      <c r="E72" s="506" t="s">
        <v>180</v>
      </c>
      <c r="F72" s="507">
        <f>Productenlijst!M80+Productenlijst!M81</f>
        <v>0</v>
      </c>
      <c r="G72" s="470"/>
      <c r="H72" s="518">
        <f>F72*$H$18</f>
        <v>0</v>
      </c>
      <c r="I72" s="472">
        <v>0</v>
      </c>
      <c r="J72" s="521" t="s">
        <v>281</v>
      </c>
      <c r="K72" s="522">
        <f t="shared" ref="K72:K76" si="140">I72*H72</f>
        <v>0</v>
      </c>
      <c r="L72" s="523">
        <f t="shared" ref="L72:L76" si="141">H72-K72</f>
        <v>0</v>
      </c>
      <c r="M72" s="524" t="str">
        <f t="shared" ref="M72:M76" si="142">IF(I72&gt;90%,"X","")</f>
        <v/>
      </c>
      <c r="O72" s="541" t="s">
        <v>286</v>
      </c>
      <c r="P72" s="522">
        <f>F72*$P$18</f>
        <v>0</v>
      </c>
      <c r="Q72" s="472">
        <v>0</v>
      </c>
      <c r="R72" s="521" t="s">
        <v>281</v>
      </c>
      <c r="S72" s="522">
        <f t="shared" ref="S72:S74" si="143">Q72*P72</f>
        <v>0</v>
      </c>
      <c r="T72" s="523">
        <f t="shared" ref="T72:T74" si="144">P72-S72</f>
        <v>0</v>
      </c>
      <c r="U72" s="524" t="str">
        <f t="shared" ref="U72:U74" si="145">IF(Q72&gt;90%,"X","")</f>
        <v/>
      </c>
      <c r="W72" s="541" t="s">
        <v>286</v>
      </c>
      <c r="X72" s="522">
        <f>F72*$X$18</f>
        <v>0</v>
      </c>
      <c r="Y72" s="472">
        <v>0</v>
      </c>
      <c r="Z72" s="521" t="s">
        <v>281</v>
      </c>
      <c r="AA72" s="522">
        <f t="shared" ref="AA72:AA74" si="146">Y72*X72</f>
        <v>0</v>
      </c>
      <c r="AB72" s="523">
        <f t="shared" ref="AB72:AB74" si="147">X72-AA72</f>
        <v>0</v>
      </c>
      <c r="AC72" s="524" t="str">
        <f t="shared" ref="AC72:AC74" si="148">IF(Y72&gt;90%,"X","")</f>
        <v/>
      </c>
      <c r="AE72" s="541" t="s">
        <v>286</v>
      </c>
      <c r="AF72" s="522">
        <f>F72*$AF$18</f>
        <v>0</v>
      </c>
      <c r="AG72" s="472">
        <v>0</v>
      </c>
      <c r="AH72" s="521" t="s">
        <v>281</v>
      </c>
      <c r="AI72" s="522">
        <f t="shared" ref="AI72:AI74" si="149">AG72*AF72</f>
        <v>0</v>
      </c>
      <c r="AJ72" s="523">
        <f t="shared" ref="AJ72:AJ74" si="150">AF72-AI72</f>
        <v>0</v>
      </c>
      <c r="AK72" s="524" t="str">
        <f t="shared" ref="AK72:AK74" si="151">IF(AG72&gt;90%,"X","")</f>
        <v/>
      </c>
      <c r="AM72" s="541" t="s">
        <v>286</v>
      </c>
      <c r="AN72" s="522">
        <f>F72*$AN$18</f>
        <v>0</v>
      </c>
      <c r="AO72" s="472">
        <v>0</v>
      </c>
      <c r="AP72" s="521" t="s">
        <v>281</v>
      </c>
      <c r="AQ72" s="522">
        <f t="shared" ref="AQ72:AQ74" si="152">AO72*AN72</f>
        <v>0</v>
      </c>
      <c r="AR72" s="523">
        <f t="shared" ref="AR72:AR74" si="153">AN72-AQ72</f>
        <v>0</v>
      </c>
      <c r="AS72" s="524" t="str">
        <f t="shared" ref="AS72:AS74" si="154">IF(AO72&gt;90%,"X","")</f>
        <v/>
      </c>
    </row>
    <row r="73" spans="3:45" s="190" customFormat="1" x14ac:dyDescent="0.25">
      <c r="C73" s="501"/>
      <c r="D73" s="495"/>
      <c r="E73" s="506" t="s">
        <v>150</v>
      </c>
      <c r="F73" s="507">
        <f>Productenlijst!M82</f>
        <v>0</v>
      </c>
      <c r="G73" s="470"/>
      <c r="H73" s="518">
        <f>F73*$H$18</f>
        <v>0</v>
      </c>
      <c r="I73" s="472">
        <v>0</v>
      </c>
      <c r="J73" s="521" t="s">
        <v>281</v>
      </c>
      <c r="K73" s="522">
        <f t="shared" si="140"/>
        <v>0</v>
      </c>
      <c r="L73" s="523">
        <f t="shared" si="141"/>
        <v>0</v>
      </c>
      <c r="M73" s="524" t="str">
        <f t="shared" si="142"/>
        <v/>
      </c>
      <c r="O73" s="541" t="s">
        <v>271</v>
      </c>
      <c r="P73" s="522">
        <f>F73*$P$18</f>
        <v>0</v>
      </c>
      <c r="Q73" s="472">
        <v>0</v>
      </c>
      <c r="R73" s="521" t="s">
        <v>281</v>
      </c>
      <c r="S73" s="522">
        <f t="shared" si="143"/>
        <v>0</v>
      </c>
      <c r="T73" s="523">
        <f t="shared" si="144"/>
        <v>0</v>
      </c>
      <c r="U73" s="524" t="str">
        <f t="shared" si="145"/>
        <v/>
      </c>
      <c r="W73" s="541" t="s">
        <v>271</v>
      </c>
      <c r="X73" s="522">
        <f>F73*$X$18</f>
        <v>0</v>
      </c>
      <c r="Y73" s="472">
        <v>0</v>
      </c>
      <c r="Z73" s="521" t="s">
        <v>281</v>
      </c>
      <c r="AA73" s="522">
        <f t="shared" si="146"/>
        <v>0</v>
      </c>
      <c r="AB73" s="523">
        <f t="shared" si="147"/>
        <v>0</v>
      </c>
      <c r="AC73" s="524" t="str">
        <f t="shared" si="148"/>
        <v/>
      </c>
      <c r="AE73" s="541" t="s">
        <v>271</v>
      </c>
      <c r="AF73" s="522">
        <f>F73*$AF$18</f>
        <v>0</v>
      </c>
      <c r="AG73" s="472">
        <v>0</v>
      </c>
      <c r="AH73" s="521" t="s">
        <v>281</v>
      </c>
      <c r="AI73" s="522">
        <f t="shared" si="149"/>
        <v>0</v>
      </c>
      <c r="AJ73" s="523">
        <f t="shared" si="150"/>
        <v>0</v>
      </c>
      <c r="AK73" s="524" t="str">
        <f t="shared" si="151"/>
        <v/>
      </c>
      <c r="AM73" s="541" t="s">
        <v>271</v>
      </c>
      <c r="AN73" s="522">
        <f>F73*$AN$18</f>
        <v>0</v>
      </c>
      <c r="AO73" s="472">
        <v>0</v>
      </c>
      <c r="AP73" s="521" t="s">
        <v>281</v>
      </c>
      <c r="AQ73" s="522">
        <f t="shared" si="152"/>
        <v>0</v>
      </c>
      <c r="AR73" s="523">
        <f t="shared" si="153"/>
        <v>0</v>
      </c>
      <c r="AS73" s="524" t="str">
        <f t="shared" si="154"/>
        <v/>
      </c>
    </row>
    <row r="74" spans="3:45" s="190" customFormat="1" x14ac:dyDescent="0.25">
      <c r="C74" s="501"/>
      <c r="D74" s="495"/>
      <c r="E74" s="506" t="s">
        <v>151</v>
      </c>
      <c r="F74" s="507">
        <f>Productenlijst!M83</f>
        <v>0</v>
      </c>
      <c r="G74" s="470"/>
      <c r="H74" s="518">
        <f>F74*$H$18</f>
        <v>0</v>
      </c>
      <c r="I74" s="472">
        <v>0</v>
      </c>
      <c r="J74" s="521" t="s">
        <v>281</v>
      </c>
      <c r="K74" s="522">
        <f t="shared" si="140"/>
        <v>0</v>
      </c>
      <c r="L74" s="523">
        <f t="shared" si="141"/>
        <v>0</v>
      </c>
      <c r="M74" s="524" t="str">
        <f t="shared" si="142"/>
        <v/>
      </c>
      <c r="O74" s="541" t="s">
        <v>272</v>
      </c>
      <c r="P74" s="522">
        <f>F74*$P$18</f>
        <v>0</v>
      </c>
      <c r="Q74" s="472">
        <v>0</v>
      </c>
      <c r="R74" s="521" t="s">
        <v>281</v>
      </c>
      <c r="S74" s="522">
        <f t="shared" si="143"/>
        <v>0</v>
      </c>
      <c r="T74" s="523">
        <f t="shared" si="144"/>
        <v>0</v>
      </c>
      <c r="U74" s="524" t="str">
        <f t="shared" si="145"/>
        <v/>
      </c>
      <c r="W74" s="541" t="s">
        <v>272</v>
      </c>
      <c r="X74" s="522">
        <f>F74*$X$18</f>
        <v>0</v>
      </c>
      <c r="Y74" s="472">
        <v>0</v>
      </c>
      <c r="Z74" s="521" t="s">
        <v>281</v>
      </c>
      <c r="AA74" s="522">
        <f t="shared" si="146"/>
        <v>0</v>
      </c>
      <c r="AB74" s="523">
        <f t="shared" si="147"/>
        <v>0</v>
      </c>
      <c r="AC74" s="524" t="str">
        <f t="shared" si="148"/>
        <v/>
      </c>
      <c r="AE74" s="541" t="s">
        <v>272</v>
      </c>
      <c r="AF74" s="522">
        <f>F74*$AF$18</f>
        <v>0</v>
      </c>
      <c r="AG74" s="472">
        <v>0</v>
      </c>
      <c r="AH74" s="521" t="s">
        <v>281</v>
      </c>
      <c r="AI74" s="522">
        <f t="shared" si="149"/>
        <v>0</v>
      </c>
      <c r="AJ74" s="523">
        <f t="shared" si="150"/>
        <v>0</v>
      </c>
      <c r="AK74" s="524" t="str">
        <f t="shared" si="151"/>
        <v/>
      </c>
      <c r="AM74" s="541" t="s">
        <v>272</v>
      </c>
      <c r="AN74" s="522">
        <f>F74*$AN$18</f>
        <v>0</v>
      </c>
      <c r="AO74" s="472">
        <v>0</v>
      </c>
      <c r="AP74" s="521" t="s">
        <v>281</v>
      </c>
      <c r="AQ74" s="522">
        <f t="shared" si="152"/>
        <v>0</v>
      </c>
      <c r="AR74" s="523">
        <f t="shared" si="153"/>
        <v>0</v>
      </c>
      <c r="AS74" s="524" t="str">
        <f t="shared" si="154"/>
        <v/>
      </c>
    </row>
    <row r="75" spans="3:45" s="190" customFormat="1" x14ac:dyDescent="0.25">
      <c r="C75" s="501"/>
      <c r="D75" s="495"/>
      <c r="E75" s="506"/>
      <c r="F75" s="507"/>
      <c r="G75" s="470"/>
      <c r="H75" s="518"/>
      <c r="I75" s="495"/>
      <c r="J75" s="521"/>
      <c r="K75" s="522"/>
      <c r="L75" s="523"/>
      <c r="M75" s="524"/>
      <c r="O75" s="537"/>
      <c r="P75" s="522"/>
      <c r="Q75" s="495"/>
      <c r="R75" s="521"/>
      <c r="S75" s="522"/>
      <c r="T75" s="523"/>
      <c r="U75" s="524"/>
      <c r="W75" s="537"/>
      <c r="X75" s="522"/>
      <c r="Y75" s="495"/>
      <c r="Z75" s="521"/>
      <c r="AA75" s="522"/>
      <c r="AB75" s="523"/>
      <c r="AC75" s="524"/>
      <c r="AE75" s="537"/>
      <c r="AF75" s="522"/>
      <c r="AG75" s="495"/>
      <c r="AH75" s="521"/>
      <c r="AI75" s="522"/>
      <c r="AJ75" s="523"/>
      <c r="AK75" s="524"/>
      <c r="AM75" s="537"/>
      <c r="AN75" s="522"/>
      <c r="AO75" s="495"/>
      <c r="AP75" s="521"/>
      <c r="AQ75" s="522"/>
      <c r="AR75" s="523"/>
      <c r="AS75" s="524"/>
    </row>
    <row r="76" spans="3:45" s="190" customFormat="1" x14ac:dyDescent="0.25">
      <c r="C76" s="501"/>
      <c r="D76" s="495"/>
      <c r="E76" s="506" t="s">
        <v>181</v>
      </c>
      <c r="F76" s="504">
        <f>Productenlijst!M86</f>
        <v>0</v>
      </c>
      <c r="G76" s="470"/>
      <c r="H76" s="497">
        <f>F76*$H$18</f>
        <v>0</v>
      </c>
      <c r="I76" s="472">
        <v>0</v>
      </c>
      <c r="J76" s="521" t="s">
        <v>281</v>
      </c>
      <c r="K76" s="499">
        <f t="shared" si="140"/>
        <v>0</v>
      </c>
      <c r="L76" s="500">
        <f t="shared" si="141"/>
        <v>0</v>
      </c>
      <c r="M76" s="524" t="str">
        <f t="shared" si="142"/>
        <v/>
      </c>
      <c r="O76" s="537"/>
      <c r="P76" s="499">
        <f>F76*$P$18</f>
        <v>0</v>
      </c>
      <c r="Q76" s="472">
        <v>0</v>
      </c>
      <c r="R76" s="521" t="s">
        <v>281</v>
      </c>
      <c r="S76" s="499">
        <f t="shared" ref="S76" si="155">Q76*P76</f>
        <v>0</v>
      </c>
      <c r="T76" s="500">
        <f t="shared" ref="T76" si="156">P76-S76</f>
        <v>0</v>
      </c>
      <c r="U76" s="524" t="str">
        <f t="shared" ref="U76" si="157">IF(Q76&gt;90%,"X","")</f>
        <v/>
      </c>
      <c r="V76" s="133"/>
      <c r="W76" s="537"/>
      <c r="X76" s="499">
        <f>F76*$X$18</f>
        <v>0</v>
      </c>
      <c r="Y76" s="472">
        <v>0</v>
      </c>
      <c r="Z76" s="521" t="s">
        <v>281</v>
      </c>
      <c r="AA76" s="499">
        <f t="shared" ref="AA76" si="158">Y76*X76</f>
        <v>0</v>
      </c>
      <c r="AB76" s="500">
        <f t="shared" ref="AB76" si="159">X76-AA76</f>
        <v>0</v>
      </c>
      <c r="AC76" s="524" t="str">
        <f t="shared" ref="AC76" si="160">IF(Y76&gt;90%,"X","")</f>
        <v/>
      </c>
      <c r="AD76" s="133"/>
      <c r="AE76" s="537"/>
      <c r="AF76" s="499">
        <f>F76*$AF$18</f>
        <v>0</v>
      </c>
      <c r="AG76" s="472">
        <v>0</v>
      </c>
      <c r="AH76" s="521" t="s">
        <v>281</v>
      </c>
      <c r="AI76" s="499">
        <f t="shared" ref="AI76" si="161">AG76*AF76</f>
        <v>0</v>
      </c>
      <c r="AJ76" s="500">
        <f t="shared" ref="AJ76" si="162">AF76-AI76</f>
        <v>0</v>
      </c>
      <c r="AK76" s="524" t="str">
        <f t="shared" ref="AK76" si="163">IF(AG76&gt;90%,"X","")</f>
        <v/>
      </c>
      <c r="AL76" s="133"/>
      <c r="AM76" s="537"/>
      <c r="AN76" s="499">
        <f>F76*$AN$18</f>
        <v>0</v>
      </c>
      <c r="AO76" s="472">
        <v>0</v>
      </c>
      <c r="AP76" s="521" t="s">
        <v>281</v>
      </c>
      <c r="AQ76" s="499">
        <f t="shared" ref="AQ76" si="164">AO76*AN76</f>
        <v>0</v>
      </c>
      <c r="AR76" s="500">
        <f t="shared" ref="AR76" si="165">AN76-AQ76</f>
        <v>0</v>
      </c>
      <c r="AS76" s="524" t="str">
        <f t="shared" ref="AS76" si="166">IF(AO76&gt;90%,"X","")</f>
        <v/>
      </c>
    </row>
    <row r="77" spans="3:45" s="190" customFormat="1" x14ac:dyDescent="0.25">
      <c r="C77" s="501"/>
      <c r="D77" s="495"/>
      <c r="E77" s="506"/>
      <c r="F77" s="507"/>
      <c r="G77" s="470"/>
      <c r="H77" s="518"/>
      <c r="I77" s="495"/>
      <c r="J77" s="498"/>
      <c r="K77" s="522"/>
      <c r="L77" s="523"/>
      <c r="M77" s="496"/>
      <c r="O77" s="537"/>
      <c r="P77" s="522"/>
      <c r="Q77" s="495"/>
      <c r="R77" s="498"/>
      <c r="S77" s="522"/>
      <c r="T77" s="523"/>
      <c r="U77" s="496"/>
      <c r="W77" s="537"/>
      <c r="X77" s="522"/>
      <c r="Y77" s="495"/>
      <c r="Z77" s="498"/>
      <c r="AA77" s="522"/>
      <c r="AB77" s="523"/>
      <c r="AC77" s="496"/>
      <c r="AE77" s="537"/>
      <c r="AF77" s="522"/>
      <c r="AG77" s="495"/>
      <c r="AH77" s="498"/>
      <c r="AI77" s="522"/>
      <c r="AJ77" s="523"/>
      <c r="AK77" s="496"/>
      <c r="AM77" s="537"/>
      <c r="AN77" s="522"/>
      <c r="AO77" s="495"/>
      <c r="AP77" s="498"/>
      <c r="AQ77" s="522"/>
      <c r="AR77" s="523"/>
      <c r="AS77" s="496"/>
    </row>
    <row r="78" spans="3:45" s="190" customFormat="1" x14ac:dyDescent="0.25">
      <c r="C78" s="501" t="s">
        <v>172</v>
      </c>
      <c r="D78" s="495" t="str">
        <f>Productenlijst!C89</f>
        <v>B. Taxatie en aankoop onroerende zaak</v>
      </c>
      <c r="E78" s="506"/>
      <c r="F78" s="504">
        <f>SUM(F79:F82)</f>
        <v>0</v>
      </c>
      <c r="G78" s="470"/>
      <c r="H78" s="497">
        <f>SUM(H79:H82)</f>
        <v>0</v>
      </c>
      <c r="I78" s="495"/>
      <c r="J78" s="498"/>
      <c r="K78" s="499">
        <f>SUM(K79:K82)</f>
        <v>0</v>
      </c>
      <c r="L78" s="500">
        <f>SUM(L79:L82)</f>
        <v>0</v>
      </c>
      <c r="M78" s="496"/>
      <c r="O78" s="537" t="s">
        <v>198</v>
      </c>
      <c r="P78" s="499">
        <f>SUM(P79:P82)</f>
        <v>0</v>
      </c>
      <c r="Q78" s="495"/>
      <c r="R78" s="498"/>
      <c r="S78" s="499">
        <f>SUM(S79:S82)</f>
        <v>0</v>
      </c>
      <c r="T78" s="500">
        <f>SUM(T79:T82)</f>
        <v>0</v>
      </c>
      <c r="U78" s="496"/>
      <c r="W78" s="537" t="s">
        <v>198</v>
      </c>
      <c r="X78" s="499">
        <f>SUM(X79:X82)</f>
        <v>0</v>
      </c>
      <c r="Y78" s="495"/>
      <c r="Z78" s="498"/>
      <c r="AA78" s="499">
        <f>SUM(AA79:AA82)</f>
        <v>0</v>
      </c>
      <c r="AB78" s="500">
        <f>SUM(AB79:AB82)</f>
        <v>0</v>
      </c>
      <c r="AC78" s="496"/>
      <c r="AE78" s="537" t="s">
        <v>198</v>
      </c>
      <c r="AF78" s="499">
        <f>SUM(AF79:AF82)</f>
        <v>0</v>
      </c>
      <c r="AG78" s="495"/>
      <c r="AH78" s="498"/>
      <c r="AI78" s="499">
        <f>SUM(AI79:AI82)</f>
        <v>0</v>
      </c>
      <c r="AJ78" s="500">
        <f>SUM(AJ79:AJ82)</f>
        <v>0</v>
      </c>
      <c r="AK78" s="496"/>
      <c r="AM78" s="537" t="s">
        <v>198</v>
      </c>
      <c r="AN78" s="499">
        <f>SUM(AN79:AN82)</f>
        <v>0</v>
      </c>
      <c r="AO78" s="495"/>
      <c r="AP78" s="498"/>
      <c r="AQ78" s="499">
        <f>SUM(AQ79:AQ82)</f>
        <v>0</v>
      </c>
      <c r="AR78" s="500">
        <f>SUM(AR79:AR82)</f>
        <v>0</v>
      </c>
      <c r="AS78" s="496"/>
    </row>
    <row r="79" spans="3:45" s="190" customFormat="1" x14ac:dyDescent="0.25">
      <c r="C79" s="501"/>
      <c r="D79" s="495"/>
      <c r="E79" s="506" t="s">
        <v>184</v>
      </c>
      <c r="F79" s="507">
        <f>SUM(Productenlijst!M90:M96)</f>
        <v>0</v>
      </c>
      <c r="G79" s="470"/>
      <c r="H79" s="518">
        <f>F79*$H$18</f>
        <v>0</v>
      </c>
      <c r="I79" s="472">
        <v>0</v>
      </c>
      <c r="J79" s="521" t="s">
        <v>281</v>
      </c>
      <c r="K79" s="522">
        <f t="shared" ref="K79:K82" si="167">I79*H79</f>
        <v>0</v>
      </c>
      <c r="L79" s="523">
        <f t="shared" ref="L79:L82" si="168">H79-K79</f>
        <v>0</v>
      </c>
      <c r="M79" s="524" t="str">
        <f t="shared" ref="M79:M82" si="169">IF(I79&gt;90%,"X","")</f>
        <v/>
      </c>
      <c r="O79" s="541" t="s">
        <v>287</v>
      </c>
      <c r="P79" s="522">
        <f>F79*$P$18</f>
        <v>0</v>
      </c>
      <c r="Q79" s="472">
        <v>0</v>
      </c>
      <c r="R79" s="521" t="s">
        <v>281</v>
      </c>
      <c r="S79" s="522">
        <f t="shared" ref="S79:S82" si="170">Q79*P79</f>
        <v>0</v>
      </c>
      <c r="T79" s="523">
        <f t="shared" ref="T79:T82" si="171">P79-S79</f>
        <v>0</v>
      </c>
      <c r="U79" s="524" t="str">
        <f t="shared" ref="U79:U82" si="172">IF(Q79&gt;90%,"X","")</f>
        <v/>
      </c>
      <c r="W79" s="541" t="s">
        <v>287</v>
      </c>
      <c r="X79" s="522">
        <f>F79*$X$18</f>
        <v>0</v>
      </c>
      <c r="Y79" s="472">
        <v>0</v>
      </c>
      <c r="Z79" s="521" t="s">
        <v>281</v>
      </c>
      <c r="AA79" s="522">
        <f t="shared" ref="AA79:AA82" si="173">Y79*X79</f>
        <v>0</v>
      </c>
      <c r="AB79" s="523">
        <f t="shared" ref="AB79:AB82" si="174">X79-AA79</f>
        <v>0</v>
      </c>
      <c r="AC79" s="524" t="str">
        <f t="shared" ref="AC79:AC82" si="175">IF(Y79&gt;90%,"X","")</f>
        <v/>
      </c>
      <c r="AE79" s="541" t="s">
        <v>287</v>
      </c>
      <c r="AF79" s="522">
        <f>F79*$AF$18</f>
        <v>0</v>
      </c>
      <c r="AG79" s="472">
        <v>0</v>
      </c>
      <c r="AH79" s="521" t="s">
        <v>281</v>
      </c>
      <c r="AI79" s="522">
        <f t="shared" ref="AI79:AI82" si="176">AG79*AF79</f>
        <v>0</v>
      </c>
      <c r="AJ79" s="523">
        <f t="shared" ref="AJ79:AJ82" si="177">AF79-AI79</f>
        <v>0</v>
      </c>
      <c r="AK79" s="524" t="str">
        <f t="shared" ref="AK79:AK82" si="178">IF(AG79&gt;90%,"X","")</f>
        <v/>
      </c>
      <c r="AM79" s="541" t="s">
        <v>287</v>
      </c>
      <c r="AN79" s="522">
        <f>F79*$AN$18</f>
        <v>0</v>
      </c>
      <c r="AO79" s="472">
        <v>0</v>
      </c>
      <c r="AP79" s="521" t="s">
        <v>281</v>
      </c>
      <c r="AQ79" s="522">
        <f t="shared" ref="AQ79:AQ82" si="179">AO79*AN79</f>
        <v>0</v>
      </c>
      <c r="AR79" s="523">
        <f t="shared" ref="AR79:AR82" si="180">AN79-AQ79</f>
        <v>0</v>
      </c>
      <c r="AS79" s="524" t="str">
        <f t="shared" ref="AS79:AS82" si="181">IF(AO79&gt;90%,"X","")</f>
        <v/>
      </c>
    </row>
    <row r="80" spans="3:45" x14ac:dyDescent="0.25">
      <c r="C80" s="501"/>
      <c r="D80" s="495"/>
      <c r="E80" s="506" t="s">
        <v>150</v>
      </c>
      <c r="F80" s="507">
        <f>Productenlijst!M97</f>
        <v>0</v>
      </c>
      <c r="G80" s="470"/>
      <c r="H80" s="518">
        <f>F80*$H$18</f>
        <v>0</v>
      </c>
      <c r="I80" s="472">
        <v>0</v>
      </c>
      <c r="J80" s="521" t="s">
        <v>281</v>
      </c>
      <c r="K80" s="522">
        <f t="shared" si="167"/>
        <v>0</v>
      </c>
      <c r="L80" s="523">
        <f t="shared" si="168"/>
        <v>0</v>
      </c>
      <c r="M80" s="524" t="str">
        <f t="shared" si="169"/>
        <v/>
      </c>
      <c r="O80" s="541" t="s">
        <v>271</v>
      </c>
      <c r="P80" s="522">
        <f>F80*$P$18</f>
        <v>0</v>
      </c>
      <c r="Q80" s="472">
        <v>0</v>
      </c>
      <c r="R80" s="521" t="s">
        <v>281</v>
      </c>
      <c r="S80" s="522">
        <f t="shared" si="170"/>
        <v>0</v>
      </c>
      <c r="T80" s="523">
        <f t="shared" si="171"/>
        <v>0</v>
      </c>
      <c r="U80" s="524" t="str">
        <f t="shared" si="172"/>
        <v/>
      </c>
      <c r="W80" s="541" t="s">
        <v>271</v>
      </c>
      <c r="X80" s="522">
        <f>F80*$X$18</f>
        <v>0</v>
      </c>
      <c r="Y80" s="472">
        <v>0</v>
      </c>
      <c r="Z80" s="521" t="s">
        <v>281</v>
      </c>
      <c r="AA80" s="522">
        <f t="shared" si="173"/>
        <v>0</v>
      </c>
      <c r="AB80" s="523">
        <f t="shared" si="174"/>
        <v>0</v>
      </c>
      <c r="AC80" s="524" t="str">
        <f t="shared" si="175"/>
        <v/>
      </c>
      <c r="AE80" s="541" t="s">
        <v>271</v>
      </c>
      <c r="AF80" s="522">
        <f>F80*$AF$18</f>
        <v>0</v>
      </c>
      <c r="AG80" s="472">
        <v>0</v>
      </c>
      <c r="AH80" s="521" t="s">
        <v>281</v>
      </c>
      <c r="AI80" s="522">
        <f t="shared" si="176"/>
        <v>0</v>
      </c>
      <c r="AJ80" s="523">
        <f t="shared" si="177"/>
        <v>0</v>
      </c>
      <c r="AK80" s="524" t="str">
        <f t="shared" si="178"/>
        <v/>
      </c>
      <c r="AM80" s="541" t="s">
        <v>271</v>
      </c>
      <c r="AN80" s="522">
        <f>F80*$AN$18</f>
        <v>0</v>
      </c>
      <c r="AO80" s="472">
        <v>0</v>
      </c>
      <c r="AP80" s="521" t="s">
        <v>281</v>
      </c>
      <c r="AQ80" s="522">
        <f t="shared" si="179"/>
        <v>0</v>
      </c>
      <c r="AR80" s="523">
        <f t="shared" si="180"/>
        <v>0</v>
      </c>
      <c r="AS80" s="524" t="str">
        <f t="shared" si="181"/>
        <v/>
      </c>
    </row>
    <row r="81" spans="3:45" x14ac:dyDescent="0.25">
      <c r="C81" s="501"/>
      <c r="D81" s="495"/>
      <c r="E81" s="506" t="s">
        <v>156</v>
      </c>
      <c r="F81" s="507">
        <f>Productenlijst!M98</f>
        <v>0</v>
      </c>
      <c r="G81" s="470"/>
      <c r="H81" s="518">
        <f>F81*$H$18</f>
        <v>0</v>
      </c>
      <c r="I81" s="472">
        <v>0</v>
      </c>
      <c r="J81" s="521" t="s">
        <v>281</v>
      </c>
      <c r="K81" s="522">
        <f t="shared" si="167"/>
        <v>0</v>
      </c>
      <c r="L81" s="523">
        <f t="shared" si="168"/>
        <v>0</v>
      </c>
      <c r="M81" s="524" t="str">
        <f t="shared" si="169"/>
        <v/>
      </c>
      <c r="O81" s="541" t="s">
        <v>276</v>
      </c>
      <c r="P81" s="522">
        <f>F81*$P$18</f>
        <v>0</v>
      </c>
      <c r="Q81" s="472">
        <v>0</v>
      </c>
      <c r="R81" s="521" t="s">
        <v>281</v>
      </c>
      <c r="S81" s="522">
        <f t="shared" si="170"/>
        <v>0</v>
      </c>
      <c r="T81" s="523">
        <f t="shared" si="171"/>
        <v>0</v>
      </c>
      <c r="U81" s="524" t="str">
        <f t="shared" si="172"/>
        <v/>
      </c>
      <c r="W81" s="541" t="s">
        <v>276</v>
      </c>
      <c r="X81" s="522">
        <f>F81*$X$18</f>
        <v>0</v>
      </c>
      <c r="Y81" s="472">
        <v>0</v>
      </c>
      <c r="Z81" s="521" t="s">
        <v>281</v>
      </c>
      <c r="AA81" s="522">
        <f t="shared" si="173"/>
        <v>0</v>
      </c>
      <c r="AB81" s="523">
        <f t="shared" si="174"/>
        <v>0</v>
      </c>
      <c r="AC81" s="524" t="str">
        <f t="shared" si="175"/>
        <v/>
      </c>
      <c r="AE81" s="541" t="s">
        <v>276</v>
      </c>
      <c r="AF81" s="522">
        <f>F81*$AF$18</f>
        <v>0</v>
      </c>
      <c r="AG81" s="472">
        <v>0</v>
      </c>
      <c r="AH81" s="521" t="s">
        <v>281</v>
      </c>
      <c r="AI81" s="522">
        <f t="shared" si="176"/>
        <v>0</v>
      </c>
      <c r="AJ81" s="523">
        <f t="shared" si="177"/>
        <v>0</v>
      </c>
      <c r="AK81" s="524" t="str">
        <f t="shared" si="178"/>
        <v/>
      </c>
      <c r="AM81" s="541" t="s">
        <v>276</v>
      </c>
      <c r="AN81" s="522">
        <f>F81*$AN$18</f>
        <v>0</v>
      </c>
      <c r="AO81" s="472">
        <v>0</v>
      </c>
      <c r="AP81" s="521" t="s">
        <v>281</v>
      </c>
      <c r="AQ81" s="522">
        <f t="shared" si="179"/>
        <v>0</v>
      </c>
      <c r="AR81" s="523">
        <f t="shared" si="180"/>
        <v>0</v>
      </c>
      <c r="AS81" s="524" t="str">
        <f t="shared" si="181"/>
        <v/>
      </c>
    </row>
    <row r="82" spans="3:45" x14ac:dyDescent="0.25">
      <c r="C82" s="501"/>
      <c r="D82" s="495"/>
      <c r="E82" s="506" t="s">
        <v>151</v>
      </c>
      <c r="F82" s="507">
        <f>Productenlijst!M99</f>
        <v>0</v>
      </c>
      <c r="G82" s="470"/>
      <c r="H82" s="518">
        <f>F82*$H$18</f>
        <v>0</v>
      </c>
      <c r="I82" s="472">
        <v>0</v>
      </c>
      <c r="J82" s="521" t="s">
        <v>281</v>
      </c>
      <c r="K82" s="522">
        <f t="shared" si="167"/>
        <v>0</v>
      </c>
      <c r="L82" s="523">
        <f t="shared" si="168"/>
        <v>0</v>
      </c>
      <c r="M82" s="524" t="str">
        <f t="shared" si="169"/>
        <v/>
      </c>
      <c r="O82" s="541" t="s">
        <v>272</v>
      </c>
      <c r="P82" s="522">
        <f>F82*$P$18</f>
        <v>0</v>
      </c>
      <c r="Q82" s="472">
        <v>0</v>
      </c>
      <c r="R82" s="521" t="s">
        <v>281</v>
      </c>
      <c r="S82" s="522">
        <f t="shared" si="170"/>
        <v>0</v>
      </c>
      <c r="T82" s="523">
        <f t="shared" si="171"/>
        <v>0</v>
      </c>
      <c r="U82" s="524" t="str">
        <f t="shared" si="172"/>
        <v/>
      </c>
      <c r="W82" s="541" t="s">
        <v>272</v>
      </c>
      <c r="X82" s="522">
        <f>F82*$X$18</f>
        <v>0</v>
      </c>
      <c r="Y82" s="472">
        <v>0</v>
      </c>
      <c r="Z82" s="521" t="s">
        <v>281</v>
      </c>
      <c r="AA82" s="522">
        <f t="shared" si="173"/>
        <v>0</v>
      </c>
      <c r="AB82" s="523">
        <f t="shared" si="174"/>
        <v>0</v>
      </c>
      <c r="AC82" s="524" t="str">
        <f t="shared" si="175"/>
        <v/>
      </c>
      <c r="AE82" s="541" t="s">
        <v>272</v>
      </c>
      <c r="AF82" s="522">
        <f>F82*$AF$18</f>
        <v>0</v>
      </c>
      <c r="AG82" s="472">
        <v>0</v>
      </c>
      <c r="AH82" s="521" t="s">
        <v>281</v>
      </c>
      <c r="AI82" s="522">
        <f t="shared" si="176"/>
        <v>0</v>
      </c>
      <c r="AJ82" s="523">
        <f t="shared" si="177"/>
        <v>0</v>
      </c>
      <c r="AK82" s="524" t="str">
        <f t="shared" si="178"/>
        <v/>
      </c>
      <c r="AM82" s="541" t="s">
        <v>272</v>
      </c>
      <c r="AN82" s="522">
        <f>F82*$AN$18</f>
        <v>0</v>
      </c>
      <c r="AO82" s="472">
        <v>0</v>
      </c>
      <c r="AP82" s="521" t="s">
        <v>281</v>
      </c>
      <c r="AQ82" s="522">
        <f t="shared" si="179"/>
        <v>0</v>
      </c>
      <c r="AR82" s="523">
        <f t="shared" si="180"/>
        <v>0</v>
      </c>
      <c r="AS82" s="524" t="str">
        <f t="shared" si="181"/>
        <v/>
      </c>
    </row>
    <row r="83" spans="3:45" x14ac:dyDescent="0.25">
      <c r="C83" s="501"/>
      <c r="D83" s="495"/>
      <c r="E83" s="506"/>
      <c r="F83" s="507"/>
      <c r="G83" s="470"/>
      <c r="H83" s="518"/>
      <c r="I83" s="495"/>
      <c r="J83" s="498"/>
      <c r="K83" s="522"/>
      <c r="L83" s="523"/>
      <c r="M83" s="496"/>
      <c r="O83" s="537"/>
      <c r="P83" s="522"/>
      <c r="Q83" s="495"/>
      <c r="R83" s="498"/>
      <c r="S83" s="522"/>
      <c r="T83" s="523"/>
      <c r="U83" s="496"/>
      <c r="W83" s="537"/>
      <c r="X83" s="522"/>
      <c r="Y83" s="495"/>
      <c r="Z83" s="498"/>
      <c r="AA83" s="522"/>
      <c r="AB83" s="523"/>
      <c r="AC83" s="496"/>
      <c r="AE83" s="537"/>
      <c r="AF83" s="522"/>
      <c r="AG83" s="495"/>
      <c r="AH83" s="498"/>
      <c r="AI83" s="522"/>
      <c r="AJ83" s="523"/>
      <c r="AK83" s="496"/>
      <c r="AM83" s="537"/>
      <c r="AN83" s="522"/>
      <c r="AO83" s="495"/>
      <c r="AP83" s="498"/>
      <c r="AQ83" s="522"/>
      <c r="AR83" s="523"/>
      <c r="AS83" s="496"/>
    </row>
    <row r="84" spans="3:45" x14ac:dyDescent="0.25">
      <c r="C84" s="501" t="s">
        <v>172</v>
      </c>
      <c r="D84" s="495" t="str">
        <f>Productenlijst!C101</f>
        <v>C. Onteigenen van onroerende zaken</v>
      </c>
      <c r="E84" s="506"/>
      <c r="F84" s="504">
        <f>SUM(F85:F89)</f>
        <v>0</v>
      </c>
      <c r="G84" s="470"/>
      <c r="H84" s="497">
        <f>SUM(H85:H89)</f>
        <v>0</v>
      </c>
      <c r="I84" s="495"/>
      <c r="J84" s="498"/>
      <c r="K84" s="499">
        <f>SUM(K85:K89)</f>
        <v>0</v>
      </c>
      <c r="L84" s="500">
        <f>SUM(L85:L89)</f>
        <v>0</v>
      </c>
      <c r="M84" s="496"/>
      <c r="O84" s="537" t="s">
        <v>204</v>
      </c>
      <c r="P84" s="499">
        <f>SUM(P85:P89)</f>
        <v>0</v>
      </c>
      <c r="Q84" s="495"/>
      <c r="R84" s="498"/>
      <c r="S84" s="499">
        <f>SUM(S85:S89)</f>
        <v>0</v>
      </c>
      <c r="T84" s="500">
        <f>SUM(T85:T89)</f>
        <v>0</v>
      </c>
      <c r="U84" s="496"/>
      <c r="W84" s="537" t="s">
        <v>204</v>
      </c>
      <c r="X84" s="499">
        <f>SUM(X85:X89)</f>
        <v>0</v>
      </c>
      <c r="Y84" s="495"/>
      <c r="Z84" s="498"/>
      <c r="AA84" s="499">
        <f>SUM(AA85:AA89)</f>
        <v>0</v>
      </c>
      <c r="AB84" s="500">
        <f>SUM(AB85:AB89)</f>
        <v>0</v>
      </c>
      <c r="AC84" s="496"/>
      <c r="AE84" s="537" t="s">
        <v>204</v>
      </c>
      <c r="AF84" s="499">
        <f>SUM(AF85:AF89)</f>
        <v>0</v>
      </c>
      <c r="AG84" s="495"/>
      <c r="AH84" s="498"/>
      <c r="AI84" s="499">
        <f>SUM(AI85:AI89)</f>
        <v>0</v>
      </c>
      <c r="AJ84" s="500">
        <f>SUM(AJ85:AJ89)</f>
        <v>0</v>
      </c>
      <c r="AK84" s="496"/>
      <c r="AM84" s="537" t="s">
        <v>204</v>
      </c>
      <c r="AN84" s="499">
        <f>SUM(AN85:AN89)</f>
        <v>0</v>
      </c>
      <c r="AO84" s="495"/>
      <c r="AP84" s="498"/>
      <c r="AQ84" s="499">
        <f>SUM(AQ85:AQ89)</f>
        <v>0</v>
      </c>
      <c r="AR84" s="500">
        <f>SUM(AR85:AR89)</f>
        <v>0</v>
      </c>
      <c r="AS84" s="496"/>
    </row>
    <row r="85" spans="3:45" x14ac:dyDescent="0.25">
      <c r="C85" s="501"/>
      <c r="D85" s="495"/>
      <c r="E85" s="506" t="s">
        <v>184</v>
      </c>
      <c r="F85" s="507">
        <f>Productenlijst!M102+Productenlijst!M103</f>
        <v>0</v>
      </c>
      <c r="G85" s="470"/>
      <c r="H85" s="518">
        <f>F85*$H$18</f>
        <v>0</v>
      </c>
      <c r="I85" s="472">
        <v>0</v>
      </c>
      <c r="J85" s="521" t="s">
        <v>281</v>
      </c>
      <c r="K85" s="522">
        <f t="shared" ref="K85:K89" si="182">I85*H85</f>
        <v>0</v>
      </c>
      <c r="L85" s="523">
        <f t="shared" ref="L85:L89" si="183">H85-K85</f>
        <v>0</v>
      </c>
      <c r="M85" s="524" t="str">
        <f t="shared" ref="M85:M89" si="184">IF(I85&gt;90%,"X","")</f>
        <v/>
      </c>
      <c r="O85" s="541" t="s">
        <v>287</v>
      </c>
      <c r="P85" s="522">
        <f>F85*$P$18</f>
        <v>0</v>
      </c>
      <c r="Q85" s="472">
        <v>0</v>
      </c>
      <c r="R85" s="521" t="s">
        <v>281</v>
      </c>
      <c r="S85" s="522">
        <f t="shared" ref="S85:S89" si="185">Q85*P85</f>
        <v>0</v>
      </c>
      <c r="T85" s="523">
        <f t="shared" ref="T85:T89" si="186">P85-S85</f>
        <v>0</v>
      </c>
      <c r="U85" s="524" t="str">
        <f t="shared" ref="U85:U89" si="187">IF(Q85&gt;90%,"X","")</f>
        <v/>
      </c>
      <c r="W85" s="541" t="s">
        <v>287</v>
      </c>
      <c r="X85" s="522">
        <f>F85*$X$18</f>
        <v>0</v>
      </c>
      <c r="Y85" s="472">
        <v>0</v>
      </c>
      <c r="Z85" s="521" t="s">
        <v>281</v>
      </c>
      <c r="AA85" s="522">
        <f t="shared" ref="AA85:AA89" si="188">Y85*X85</f>
        <v>0</v>
      </c>
      <c r="AB85" s="523">
        <f t="shared" ref="AB85:AB89" si="189">X85-AA85</f>
        <v>0</v>
      </c>
      <c r="AC85" s="524" t="str">
        <f t="shared" ref="AC85:AC89" si="190">IF(Y85&gt;90%,"X","")</f>
        <v/>
      </c>
      <c r="AE85" s="541" t="s">
        <v>287</v>
      </c>
      <c r="AF85" s="522">
        <f>F85*$AF$18</f>
        <v>0</v>
      </c>
      <c r="AG85" s="472">
        <v>0</v>
      </c>
      <c r="AH85" s="521" t="s">
        <v>281</v>
      </c>
      <c r="AI85" s="522">
        <f t="shared" ref="AI85:AI89" si="191">AG85*AF85</f>
        <v>0</v>
      </c>
      <c r="AJ85" s="523">
        <f t="shared" ref="AJ85:AJ89" si="192">AF85-AI85</f>
        <v>0</v>
      </c>
      <c r="AK85" s="524" t="str">
        <f t="shared" ref="AK85:AK89" si="193">IF(AG85&gt;90%,"X","")</f>
        <v/>
      </c>
      <c r="AM85" s="541" t="s">
        <v>287</v>
      </c>
      <c r="AN85" s="522">
        <f>F85*$AN$18</f>
        <v>0</v>
      </c>
      <c r="AO85" s="472">
        <v>0</v>
      </c>
      <c r="AP85" s="521" t="s">
        <v>281</v>
      </c>
      <c r="AQ85" s="522">
        <f t="shared" ref="AQ85:AQ89" si="194">AO85*AN85</f>
        <v>0</v>
      </c>
      <c r="AR85" s="523">
        <f t="shared" ref="AR85:AR89" si="195">AN85-AQ85</f>
        <v>0</v>
      </c>
      <c r="AS85" s="524" t="str">
        <f t="shared" ref="AS85:AS89" si="196">IF(AO85&gt;90%,"X","")</f>
        <v/>
      </c>
    </row>
    <row r="86" spans="3:45" x14ac:dyDescent="0.25">
      <c r="C86" s="501"/>
      <c r="D86" s="495"/>
      <c r="E86" s="506" t="s">
        <v>195</v>
      </c>
      <c r="F86" s="507">
        <f>Productenlijst!M104</f>
        <v>0</v>
      </c>
      <c r="G86" s="470"/>
      <c r="H86" s="518">
        <f>F86*$H$18</f>
        <v>0</v>
      </c>
      <c r="I86" s="472">
        <v>0</v>
      </c>
      <c r="J86" s="521" t="s">
        <v>281</v>
      </c>
      <c r="K86" s="522">
        <f t="shared" si="182"/>
        <v>0</v>
      </c>
      <c r="L86" s="523">
        <f t="shared" si="183"/>
        <v>0</v>
      </c>
      <c r="M86" s="524" t="str">
        <f t="shared" si="184"/>
        <v/>
      </c>
      <c r="O86" s="541" t="s">
        <v>288</v>
      </c>
      <c r="P86" s="522">
        <f>F86*$P$18</f>
        <v>0</v>
      </c>
      <c r="Q86" s="472">
        <v>0</v>
      </c>
      <c r="R86" s="521" t="s">
        <v>281</v>
      </c>
      <c r="S86" s="522">
        <f t="shared" si="185"/>
        <v>0</v>
      </c>
      <c r="T86" s="523">
        <f t="shared" si="186"/>
        <v>0</v>
      </c>
      <c r="U86" s="524" t="str">
        <f t="shared" si="187"/>
        <v/>
      </c>
      <c r="W86" s="541" t="s">
        <v>288</v>
      </c>
      <c r="X86" s="522">
        <f>F86*$X$18</f>
        <v>0</v>
      </c>
      <c r="Y86" s="472">
        <v>0</v>
      </c>
      <c r="Z86" s="521" t="s">
        <v>281</v>
      </c>
      <c r="AA86" s="522">
        <f t="shared" si="188"/>
        <v>0</v>
      </c>
      <c r="AB86" s="523">
        <f t="shared" si="189"/>
        <v>0</v>
      </c>
      <c r="AC86" s="524" t="str">
        <f t="shared" si="190"/>
        <v/>
      </c>
      <c r="AE86" s="541" t="s">
        <v>288</v>
      </c>
      <c r="AF86" s="522">
        <f>F86*$AF$18</f>
        <v>0</v>
      </c>
      <c r="AG86" s="472">
        <v>0</v>
      </c>
      <c r="AH86" s="521" t="s">
        <v>281</v>
      </c>
      <c r="AI86" s="522">
        <f t="shared" si="191"/>
        <v>0</v>
      </c>
      <c r="AJ86" s="523">
        <f t="shared" si="192"/>
        <v>0</v>
      </c>
      <c r="AK86" s="524" t="str">
        <f t="shared" si="193"/>
        <v/>
      </c>
      <c r="AM86" s="541" t="s">
        <v>288</v>
      </c>
      <c r="AN86" s="522">
        <f>F86*$AN$18</f>
        <v>0</v>
      </c>
      <c r="AO86" s="472">
        <v>0</v>
      </c>
      <c r="AP86" s="521" t="s">
        <v>281</v>
      </c>
      <c r="AQ86" s="522">
        <f t="shared" si="194"/>
        <v>0</v>
      </c>
      <c r="AR86" s="523">
        <f t="shared" si="195"/>
        <v>0</v>
      </c>
      <c r="AS86" s="524" t="str">
        <f t="shared" si="196"/>
        <v/>
      </c>
    </row>
    <row r="87" spans="3:45" x14ac:dyDescent="0.25">
      <c r="C87" s="501"/>
      <c r="D87" s="495"/>
      <c r="E87" s="506" t="s">
        <v>150</v>
      </c>
      <c r="F87" s="507">
        <f>Productenlijst!M105</f>
        <v>0</v>
      </c>
      <c r="G87" s="470"/>
      <c r="H87" s="518">
        <f>F87*$H$18</f>
        <v>0</v>
      </c>
      <c r="I87" s="472">
        <v>0</v>
      </c>
      <c r="J87" s="521" t="s">
        <v>281</v>
      </c>
      <c r="K87" s="522">
        <f t="shared" si="182"/>
        <v>0</v>
      </c>
      <c r="L87" s="523">
        <f t="shared" si="183"/>
        <v>0</v>
      </c>
      <c r="M87" s="524" t="str">
        <f t="shared" si="184"/>
        <v/>
      </c>
      <c r="O87" s="541" t="s">
        <v>271</v>
      </c>
      <c r="P87" s="522">
        <f>F87*$P$18</f>
        <v>0</v>
      </c>
      <c r="Q87" s="472">
        <v>0</v>
      </c>
      <c r="R87" s="521" t="s">
        <v>281</v>
      </c>
      <c r="S87" s="522">
        <f t="shared" si="185"/>
        <v>0</v>
      </c>
      <c r="T87" s="523">
        <f t="shared" si="186"/>
        <v>0</v>
      </c>
      <c r="U87" s="524" t="str">
        <f t="shared" si="187"/>
        <v/>
      </c>
      <c r="W87" s="541" t="s">
        <v>271</v>
      </c>
      <c r="X87" s="522">
        <f>F87*$X$18</f>
        <v>0</v>
      </c>
      <c r="Y87" s="472">
        <v>0</v>
      </c>
      <c r="Z87" s="521" t="s">
        <v>281</v>
      </c>
      <c r="AA87" s="522">
        <f t="shared" si="188"/>
        <v>0</v>
      </c>
      <c r="AB87" s="523">
        <f t="shared" si="189"/>
        <v>0</v>
      </c>
      <c r="AC87" s="524" t="str">
        <f t="shared" si="190"/>
        <v/>
      </c>
      <c r="AE87" s="541" t="s">
        <v>271</v>
      </c>
      <c r="AF87" s="522">
        <f>F87*$AF$18</f>
        <v>0</v>
      </c>
      <c r="AG87" s="472">
        <v>0</v>
      </c>
      <c r="AH87" s="521" t="s">
        <v>281</v>
      </c>
      <c r="AI87" s="522">
        <f t="shared" si="191"/>
        <v>0</v>
      </c>
      <c r="AJ87" s="523">
        <f t="shared" si="192"/>
        <v>0</v>
      </c>
      <c r="AK87" s="524" t="str">
        <f t="shared" si="193"/>
        <v/>
      </c>
      <c r="AM87" s="541" t="s">
        <v>271</v>
      </c>
      <c r="AN87" s="522">
        <f>F87*$AN$18</f>
        <v>0</v>
      </c>
      <c r="AO87" s="472">
        <v>0</v>
      </c>
      <c r="AP87" s="521" t="s">
        <v>281</v>
      </c>
      <c r="AQ87" s="522">
        <f t="shared" si="194"/>
        <v>0</v>
      </c>
      <c r="AR87" s="523">
        <f t="shared" si="195"/>
        <v>0</v>
      </c>
      <c r="AS87" s="524" t="str">
        <f t="shared" si="196"/>
        <v/>
      </c>
    </row>
    <row r="88" spans="3:45" x14ac:dyDescent="0.25">
      <c r="C88" s="501"/>
      <c r="D88" s="495"/>
      <c r="E88" s="506" t="s">
        <v>156</v>
      </c>
      <c r="F88" s="507">
        <f>Productenlijst!M106</f>
        <v>0</v>
      </c>
      <c r="G88" s="470"/>
      <c r="H88" s="518">
        <f>F88*$H$18</f>
        <v>0</v>
      </c>
      <c r="I88" s="472">
        <v>0</v>
      </c>
      <c r="J88" s="521" t="s">
        <v>281</v>
      </c>
      <c r="K88" s="522">
        <f t="shared" si="182"/>
        <v>0</v>
      </c>
      <c r="L88" s="523">
        <f t="shared" si="183"/>
        <v>0</v>
      </c>
      <c r="M88" s="524" t="str">
        <f t="shared" si="184"/>
        <v/>
      </c>
      <c r="O88" s="541" t="s">
        <v>276</v>
      </c>
      <c r="P88" s="522">
        <f>F88*$P$18</f>
        <v>0</v>
      </c>
      <c r="Q88" s="472">
        <v>0</v>
      </c>
      <c r="R88" s="521" t="s">
        <v>281</v>
      </c>
      <c r="S88" s="522">
        <f t="shared" si="185"/>
        <v>0</v>
      </c>
      <c r="T88" s="523">
        <f t="shared" si="186"/>
        <v>0</v>
      </c>
      <c r="U88" s="524" t="str">
        <f t="shared" si="187"/>
        <v/>
      </c>
      <c r="W88" s="541" t="s">
        <v>276</v>
      </c>
      <c r="X88" s="522">
        <f>F88*$X$18</f>
        <v>0</v>
      </c>
      <c r="Y88" s="472">
        <v>0</v>
      </c>
      <c r="Z88" s="521" t="s">
        <v>281</v>
      </c>
      <c r="AA88" s="522">
        <f t="shared" si="188"/>
        <v>0</v>
      </c>
      <c r="AB88" s="523">
        <f t="shared" si="189"/>
        <v>0</v>
      </c>
      <c r="AC88" s="524" t="str">
        <f t="shared" si="190"/>
        <v/>
      </c>
      <c r="AE88" s="541" t="s">
        <v>276</v>
      </c>
      <c r="AF88" s="522">
        <f>F88*$AF$18</f>
        <v>0</v>
      </c>
      <c r="AG88" s="472">
        <v>0</v>
      </c>
      <c r="AH88" s="521" t="s">
        <v>281</v>
      </c>
      <c r="AI88" s="522">
        <f t="shared" si="191"/>
        <v>0</v>
      </c>
      <c r="AJ88" s="523">
        <f t="shared" si="192"/>
        <v>0</v>
      </c>
      <c r="AK88" s="524" t="str">
        <f t="shared" si="193"/>
        <v/>
      </c>
      <c r="AM88" s="541" t="s">
        <v>276</v>
      </c>
      <c r="AN88" s="522">
        <f>F88*$AN$18</f>
        <v>0</v>
      </c>
      <c r="AO88" s="472">
        <v>0</v>
      </c>
      <c r="AP88" s="521" t="s">
        <v>281</v>
      </c>
      <c r="AQ88" s="522">
        <f t="shared" si="194"/>
        <v>0</v>
      </c>
      <c r="AR88" s="523">
        <f t="shared" si="195"/>
        <v>0</v>
      </c>
      <c r="AS88" s="524" t="str">
        <f t="shared" si="196"/>
        <v/>
      </c>
    </row>
    <row r="89" spans="3:45" x14ac:dyDescent="0.25">
      <c r="C89" s="501"/>
      <c r="D89" s="495"/>
      <c r="E89" s="506" t="s">
        <v>151</v>
      </c>
      <c r="F89" s="507">
        <f>Productenlijst!M107</f>
        <v>0</v>
      </c>
      <c r="G89" s="470"/>
      <c r="H89" s="518">
        <f>F89*$H$18</f>
        <v>0</v>
      </c>
      <c r="I89" s="472">
        <v>0</v>
      </c>
      <c r="J89" s="521" t="s">
        <v>281</v>
      </c>
      <c r="K89" s="522">
        <f t="shared" si="182"/>
        <v>0</v>
      </c>
      <c r="L89" s="523">
        <f t="shared" si="183"/>
        <v>0</v>
      </c>
      <c r="M89" s="524" t="str">
        <f t="shared" si="184"/>
        <v/>
      </c>
      <c r="O89" s="541" t="s">
        <v>272</v>
      </c>
      <c r="P89" s="522">
        <f>F89*$P$18</f>
        <v>0</v>
      </c>
      <c r="Q89" s="472">
        <v>0</v>
      </c>
      <c r="R89" s="521" t="s">
        <v>281</v>
      </c>
      <c r="S89" s="522">
        <f t="shared" si="185"/>
        <v>0</v>
      </c>
      <c r="T89" s="523">
        <f t="shared" si="186"/>
        <v>0</v>
      </c>
      <c r="U89" s="524" t="str">
        <f t="shared" si="187"/>
        <v/>
      </c>
      <c r="W89" s="541" t="s">
        <v>272</v>
      </c>
      <c r="X89" s="522">
        <f>F89*$X$18</f>
        <v>0</v>
      </c>
      <c r="Y89" s="472">
        <v>0</v>
      </c>
      <c r="Z89" s="521" t="s">
        <v>281</v>
      </c>
      <c r="AA89" s="522">
        <f t="shared" si="188"/>
        <v>0</v>
      </c>
      <c r="AB89" s="523">
        <f t="shared" si="189"/>
        <v>0</v>
      </c>
      <c r="AC89" s="524" t="str">
        <f t="shared" si="190"/>
        <v/>
      </c>
      <c r="AE89" s="541" t="s">
        <v>272</v>
      </c>
      <c r="AF89" s="522">
        <f>F89*$AF$18</f>
        <v>0</v>
      </c>
      <c r="AG89" s="472">
        <v>0</v>
      </c>
      <c r="AH89" s="521" t="s">
        <v>281</v>
      </c>
      <c r="AI89" s="522">
        <f t="shared" si="191"/>
        <v>0</v>
      </c>
      <c r="AJ89" s="523">
        <f t="shared" si="192"/>
        <v>0</v>
      </c>
      <c r="AK89" s="524" t="str">
        <f t="shared" si="193"/>
        <v/>
      </c>
      <c r="AM89" s="541" t="s">
        <v>272</v>
      </c>
      <c r="AN89" s="522">
        <f>F89*$AN$18</f>
        <v>0</v>
      </c>
      <c r="AO89" s="472">
        <v>0</v>
      </c>
      <c r="AP89" s="521" t="s">
        <v>281</v>
      </c>
      <c r="AQ89" s="522">
        <f t="shared" si="194"/>
        <v>0</v>
      </c>
      <c r="AR89" s="523">
        <f t="shared" si="195"/>
        <v>0</v>
      </c>
      <c r="AS89" s="524" t="str">
        <f t="shared" si="196"/>
        <v/>
      </c>
    </row>
    <row r="90" spans="3:45" x14ac:dyDescent="0.25">
      <c r="C90" s="501"/>
      <c r="D90" s="495"/>
      <c r="E90" s="506"/>
      <c r="F90" s="507"/>
      <c r="G90" s="470"/>
      <c r="H90" s="518"/>
      <c r="I90" s="495"/>
      <c r="J90" s="498"/>
      <c r="K90" s="522"/>
      <c r="L90" s="523"/>
      <c r="M90" s="496"/>
      <c r="O90" s="537"/>
      <c r="P90" s="522"/>
      <c r="Q90" s="495"/>
      <c r="R90" s="498"/>
      <c r="S90" s="522"/>
      <c r="T90" s="523"/>
      <c r="U90" s="496"/>
      <c r="W90" s="537"/>
      <c r="X90" s="522"/>
      <c r="Y90" s="495"/>
      <c r="Z90" s="498"/>
      <c r="AA90" s="522"/>
      <c r="AB90" s="523"/>
      <c r="AC90" s="496"/>
      <c r="AE90" s="537"/>
      <c r="AF90" s="522"/>
      <c r="AG90" s="495"/>
      <c r="AH90" s="498"/>
      <c r="AI90" s="522"/>
      <c r="AJ90" s="523"/>
      <c r="AK90" s="496"/>
      <c r="AM90" s="537"/>
      <c r="AN90" s="522"/>
      <c r="AO90" s="495"/>
      <c r="AP90" s="498"/>
      <c r="AQ90" s="522"/>
      <c r="AR90" s="523"/>
      <c r="AS90" s="496"/>
    </row>
    <row r="91" spans="3:45" x14ac:dyDescent="0.25">
      <c r="C91" s="501" t="s">
        <v>172</v>
      </c>
      <c r="D91" s="495" t="str">
        <f>Productenlijst!C109</f>
        <v xml:space="preserve">D. Vestigen voorkeursrecht </v>
      </c>
      <c r="E91" s="506"/>
      <c r="F91" s="504">
        <f>SUM(F92:F95)</f>
        <v>0</v>
      </c>
      <c r="G91" s="470"/>
      <c r="H91" s="497">
        <f>SUM(H92:H95)</f>
        <v>0</v>
      </c>
      <c r="I91" s="495"/>
      <c r="J91" s="498"/>
      <c r="K91" s="499">
        <f>SUM(K92:K95)</f>
        <v>0</v>
      </c>
      <c r="L91" s="500">
        <f>SUM(L92:L95)</f>
        <v>0</v>
      </c>
      <c r="M91" s="496"/>
      <c r="O91" s="537" t="s">
        <v>211</v>
      </c>
      <c r="P91" s="499">
        <f>SUM(P92:P95)</f>
        <v>0</v>
      </c>
      <c r="Q91" s="495"/>
      <c r="R91" s="498"/>
      <c r="S91" s="499">
        <f>SUM(S92:S95)</f>
        <v>0</v>
      </c>
      <c r="T91" s="500">
        <f>SUM(T92:T95)</f>
        <v>0</v>
      </c>
      <c r="U91" s="496"/>
      <c r="W91" s="537" t="s">
        <v>211</v>
      </c>
      <c r="X91" s="499">
        <f>SUM(X92:X95)</f>
        <v>0</v>
      </c>
      <c r="Y91" s="495"/>
      <c r="Z91" s="498"/>
      <c r="AA91" s="499">
        <f>SUM(AA92:AA95)</f>
        <v>0</v>
      </c>
      <c r="AB91" s="500">
        <f>SUM(AB92:AB95)</f>
        <v>0</v>
      </c>
      <c r="AC91" s="496"/>
      <c r="AE91" s="537" t="s">
        <v>211</v>
      </c>
      <c r="AF91" s="499">
        <f>SUM(AF92:AF95)</f>
        <v>0</v>
      </c>
      <c r="AG91" s="495"/>
      <c r="AH91" s="498"/>
      <c r="AI91" s="499">
        <f>SUM(AI92:AI95)</f>
        <v>0</v>
      </c>
      <c r="AJ91" s="500">
        <f>SUM(AJ92:AJ95)</f>
        <v>0</v>
      </c>
      <c r="AK91" s="496"/>
      <c r="AM91" s="537" t="s">
        <v>211</v>
      </c>
      <c r="AN91" s="499">
        <f>SUM(AN92:AN95)</f>
        <v>0</v>
      </c>
      <c r="AO91" s="495"/>
      <c r="AP91" s="498"/>
      <c r="AQ91" s="499">
        <f>SUM(AQ92:AQ95)</f>
        <v>0</v>
      </c>
      <c r="AR91" s="500">
        <f>SUM(AR92:AR95)</f>
        <v>0</v>
      </c>
      <c r="AS91" s="496"/>
    </row>
    <row r="92" spans="3:45" x14ac:dyDescent="0.25">
      <c r="C92" s="501"/>
      <c r="D92" s="495"/>
      <c r="E92" s="506" t="s">
        <v>184</v>
      </c>
      <c r="F92" s="507">
        <f>Productenlijst!M110</f>
        <v>0</v>
      </c>
      <c r="G92" s="470"/>
      <c r="H92" s="518">
        <f>F92*$H$18</f>
        <v>0</v>
      </c>
      <c r="I92" s="472">
        <v>0</v>
      </c>
      <c r="J92" s="521" t="s">
        <v>281</v>
      </c>
      <c r="K92" s="522">
        <f t="shared" ref="K92:K95" si="197">I92*H92</f>
        <v>0</v>
      </c>
      <c r="L92" s="523">
        <f t="shared" ref="L92:L95" si="198">H92-K92</f>
        <v>0</v>
      </c>
      <c r="M92" s="524" t="str">
        <f t="shared" ref="M92:M95" si="199">IF(I92&gt;90%,"X","")</f>
        <v/>
      </c>
      <c r="O92" s="541" t="s">
        <v>287</v>
      </c>
      <c r="P92" s="522">
        <f>F92*$P$18</f>
        <v>0</v>
      </c>
      <c r="Q92" s="472">
        <v>0</v>
      </c>
      <c r="R92" s="521" t="s">
        <v>281</v>
      </c>
      <c r="S92" s="522">
        <f t="shared" ref="S92:S95" si="200">Q92*P92</f>
        <v>0</v>
      </c>
      <c r="T92" s="523">
        <f t="shared" ref="T92:T95" si="201">P92-S92</f>
        <v>0</v>
      </c>
      <c r="U92" s="524" t="str">
        <f t="shared" ref="U92:U95" si="202">IF(Q92&gt;90%,"X","")</f>
        <v/>
      </c>
      <c r="W92" s="541" t="s">
        <v>287</v>
      </c>
      <c r="X92" s="522">
        <f>F92*$X$18</f>
        <v>0</v>
      </c>
      <c r="Y92" s="472">
        <v>0</v>
      </c>
      <c r="Z92" s="521" t="s">
        <v>281</v>
      </c>
      <c r="AA92" s="522">
        <f t="shared" ref="AA92:AA95" si="203">Y92*X92</f>
        <v>0</v>
      </c>
      <c r="AB92" s="523">
        <f t="shared" ref="AB92:AB95" si="204">X92-AA92</f>
        <v>0</v>
      </c>
      <c r="AC92" s="524" t="str">
        <f t="shared" ref="AC92:AC95" si="205">IF(Y92&gt;90%,"X","")</f>
        <v/>
      </c>
      <c r="AE92" s="541" t="s">
        <v>287</v>
      </c>
      <c r="AF92" s="522">
        <f>F92*$AF$18</f>
        <v>0</v>
      </c>
      <c r="AG92" s="472">
        <v>0</v>
      </c>
      <c r="AH92" s="521" t="s">
        <v>281</v>
      </c>
      <c r="AI92" s="522">
        <f t="shared" ref="AI92:AI95" si="206">AG92*AF92</f>
        <v>0</v>
      </c>
      <c r="AJ92" s="523">
        <f t="shared" ref="AJ92:AJ95" si="207">AF92-AI92</f>
        <v>0</v>
      </c>
      <c r="AK92" s="524" t="str">
        <f t="shared" ref="AK92:AK95" si="208">IF(AG92&gt;90%,"X","")</f>
        <v/>
      </c>
      <c r="AM92" s="541" t="s">
        <v>287</v>
      </c>
      <c r="AN92" s="522">
        <f>F92*$AN$18</f>
        <v>0</v>
      </c>
      <c r="AO92" s="472">
        <v>0</v>
      </c>
      <c r="AP92" s="521" t="s">
        <v>281</v>
      </c>
      <c r="AQ92" s="522">
        <f t="shared" ref="AQ92:AQ95" si="209">AO92*AN92</f>
        <v>0</v>
      </c>
      <c r="AR92" s="523">
        <f t="shared" ref="AR92:AR95" si="210">AN92-AQ92</f>
        <v>0</v>
      </c>
      <c r="AS92" s="524" t="str">
        <f t="shared" ref="AS92:AS95" si="211">IF(AO92&gt;90%,"X","")</f>
        <v/>
      </c>
    </row>
    <row r="93" spans="3:45" x14ac:dyDescent="0.25">
      <c r="C93" s="501"/>
      <c r="D93" s="495"/>
      <c r="E93" s="506" t="s">
        <v>150</v>
      </c>
      <c r="F93" s="507">
        <f>Productenlijst!M111</f>
        <v>0</v>
      </c>
      <c r="G93" s="470"/>
      <c r="H93" s="518">
        <f>F93*$H$18</f>
        <v>0</v>
      </c>
      <c r="I93" s="472">
        <v>0</v>
      </c>
      <c r="J93" s="521" t="s">
        <v>281</v>
      </c>
      <c r="K93" s="522">
        <f t="shared" si="197"/>
        <v>0</v>
      </c>
      <c r="L93" s="523">
        <f t="shared" si="198"/>
        <v>0</v>
      </c>
      <c r="M93" s="524" t="str">
        <f t="shared" si="199"/>
        <v/>
      </c>
      <c r="O93" s="541" t="s">
        <v>271</v>
      </c>
      <c r="P93" s="522">
        <f>F93*$P$18</f>
        <v>0</v>
      </c>
      <c r="Q93" s="472">
        <v>0</v>
      </c>
      <c r="R93" s="521" t="s">
        <v>281</v>
      </c>
      <c r="S93" s="522">
        <f t="shared" si="200"/>
        <v>0</v>
      </c>
      <c r="T93" s="523">
        <f t="shared" si="201"/>
        <v>0</v>
      </c>
      <c r="U93" s="524" t="str">
        <f t="shared" si="202"/>
        <v/>
      </c>
      <c r="W93" s="541" t="s">
        <v>271</v>
      </c>
      <c r="X93" s="522">
        <f>F93*$X$18</f>
        <v>0</v>
      </c>
      <c r="Y93" s="472">
        <v>0</v>
      </c>
      <c r="Z93" s="521" t="s">
        <v>281</v>
      </c>
      <c r="AA93" s="522">
        <f t="shared" si="203"/>
        <v>0</v>
      </c>
      <c r="AB93" s="523">
        <f t="shared" si="204"/>
        <v>0</v>
      </c>
      <c r="AC93" s="524" t="str">
        <f t="shared" si="205"/>
        <v/>
      </c>
      <c r="AE93" s="541" t="s">
        <v>271</v>
      </c>
      <c r="AF93" s="522">
        <f>F93*$AF$18</f>
        <v>0</v>
      </c>
      <c r="AG93" s="472">
        <v>0</v>
      </c>
      <c r="AH93" s="521" t="s">
        <v>281</v>
      </c>
      <c r="AI93" s="522">
        <f t="shared" si="206"/>
        <v>0</v>
      </c>
      <c r="AJ93" s="523">
        <f t="shared" si="207"/>
        <v>0</v>
      </c>
      <c r="AK93" s="524" t="str">
        <f t="shared" si="208"/>
        <v/>
      </c>
      <c r="AM93" s="541" t="s">
        <v>271</v>
      </c>
      <c r="AN93" s="522">
        <f>F93*$AN$18</f>
        <v>0</v>
      </c>
      <c r="AO93" s="472">
        <v>0</v>
      </c>
      <c r="AP93" s="521" t="s">
        <v>281</v>
      </c>
      <c r="AQ93" s="522">
        <f t="shared" si="209"/>
        <v>0</v>
      </c>
      <c r="AR93" s="523">
        <f t="shared" si="210"/>
        <v>0</v>
      </c>
      <c r="AS93" s="524" t="str">
        <f t="shared" si="211"/>
        <v/>
      </c>
    </row>
    <row r="94" spans="3:45" x14ac:dyDescent="0.25">
      <c r="C94" s="501"/>
      <c r="D94" s="495"/>
      <c r="E94" s="506" t="s">
        <v>156</v>
      </c>
      <c r="F94" s="507">
        <f>Productenlijst!M112</f>
        <v>0</v>
      </c>
      <c r="G94" s="470"/>
      <c r="H94" s="518">
        <f>F94*$H$18</f>
        <v>0</v>
      </c>
      <c r="I94" s="472">
        <v>0</v>
      </c>
      <c r="J94" s="521" t="s">
        <v>281</v>
      </c>
      <c r="K94" s="522">
        <f t="shared" si="197"/>
        <v>0</v>
      </c>
      <c r="L94" s="523">
        <f t="shared" si="198"/>
        <v>0</v>
      </c>
      <c r="M94" s="524" t="str">
        <f t="shared" si="199"/>
        <v/>
      </c>
      <c r="O94" s="541" t="s">
        <v>276</v>
      </c>
      <c r="P94" s="522">
        <f>F94*$P$18</f>
        <v>0</v>
      </c>
      <c r="Q94" s="472">
        <v>0</v>
      </c>
      <c r="R94" s="521" t="s">
        <v>281</v>
      </c>
      <c r="S94" s="522">
        <f t="shared" si="200"/>
        <v>0</v>
      </c>
      <c r="T94" s="523">
        <f t="shared" si="201"/>
        <v>0</v>
      </c>
      <c r="U94" s="524" t="str">
        <f t="shared" si="202"/>
        <v/>
      </c>
      <c r="W94" s="541" t="s">
        <v>276</v>
      </c>
      <c r="X94" s="522">
        <f>F94*$X$18</f>
        <v>0</v>
      </c>
      <c r="Y94" s="472">
        <v>0</v>
      </c>
      <c r="Z94" s="521" t="s">
        <v>281</v>
      </c>
      <c r="AA94" s="522">
        <f t="shared" si="203"/>
        <v>0</v>
      </c>
      <c r="AB94" s="523">
        <f t="shared" si="204"/>
        <v>0</v>
      </c>
      <c r="AC94" s="524" t="str">
        <f t="shared" si="205"/>
        <v/>
      </c>
      <c r="AE94" s="541" t="s">
        <v>276</v>
      </c>
      <c r="AF94" s="522">
        <f>F94*$AF$18</f>
        <v>0</v>
      </c>
      <c r="AG94" s="472">
        <v>0</v>
      </c>
      <c r="AH94" s="521" t="s">
        <v>281</v>
      </c>
      <c r="AI94" s="522">
        <f t="shared" si="206"/>
        <v>0</v>
      </c>
      <c r="AJ94" s="523">
        <f t="shared" si="207"/>
        <v>0</v>
      </c>
      <c r="AK94" s="524" t="str">
        <f t="shared" si="208"/>
        <v/>
      </c>
      <c r="AM94" s="541" t="s">
        <v>276</v>
      </c>
      <c r="AN94" s="522">
        <f>F94*$AN$18</f>
        <v>0</v>
      </c>
      <c r="AO94" s="472">
        <v>0</v>
      </c>
      <c r="AP94" s="521" t="s">
        <v>281</v>
      </c>
      <c r="AQ94" s="522">
        <f t="shared" si="209"/>
        <v>0</v>
      </c>
      <c r="AR94" s="523">
        <f t="shared" si="210"/>
        <v>0</v>
      </c>
      <c r="AS94" s="524" t="str">
        <f t="shared" si="211"/>
        <v/>
      </c>
    </row>
    <row r="95" spans="3:45" x14ac:dyDescent="0.25">
      <c r="C95" s="501"/>
      <c r="D95" s="495"/>
      <c r="E95" s="506" t="s">
        <v>151</v>
      </c>
      <c r="F95" s="507">
        <f>Productenlijst!M113</f>
        <v>0</v>
      </c>
      <c r="G95" s="470"/>
      <c r="H95" s="518">
        <f>F95*$H$18</f>
        <v>0</v>
      </c>
      <c r="I95" s="472">
        <v>0</v>
      </c>
      <c r="J95" s="521" t="s">
        <v>281</v>
      </c>
      <c r="K95" s="522">
        <f t="shared" si="197"/>
        <v>0</v>
      </c>
      <c r="L95" s="523">
        <f t="shared" si="198"/>
        <v>0</v>
      </c>
      <c r="M95" s="524" t="str">
        <f t="shared" si="199"/>
        <v/>
      </c>
      <c r="O95" s="541" t="s">
        <v>272</v>
      </c>
      <c r="P95" s="522">
        <f>F95*$P$18</f>
        <v>0</v>
      </c>
      <c r="Q95" s="472">
        <v>0</v>
      </c>
      <c r="R95" s="521" t="s">
        <v>281</v>
      </c>
      <c r="S95" s="522">
        <f t="shared" si="200"/>
        <v>0</v>
      </c>
      <c r="T95" s="523">
        <f t="shared" si="201"/>
        <v>0</v>
      </c>
      <c r="U95" s="524" t="str">
        <f t="shared" si="202"/>
        <v/>
      </c>
      <c r="W95" s="541" t="s">
        <v>272</v>
      </c>
      <c r="X95" s="522">
        <f>F95*$X$18</f>
        <v>0</v>
      </c>
      <c r="Y95" s="472">
        <v>0</v>
      </c>
      <c r="Z95" s="521" t="s">
        <v>281</v>
      </c>
      <c r="AA95" s="522">
        <f t="shared" si="203"/>
        <v>0</v>
      </c>
      <c r="AB95" s="523">
        <f t="shared" si="204"/>
        <v>0</v>
      </c>
      <c r="AC95" s="524" t="str">
        <f t="shared" si="205"/>
        <v/>
      </c>
      <c r="AE95" s="541" t="s">
        <v>272</v>
      </c>
      <c r="AF95" s="522">
        <f>F95*$AF$18</f>
        <v>0</v>
      </c>
      <c r="AG95" s="472">
        <v>0</v>
      </c>
      <c r="AH95" s="521" t="s">
        <v>281</v>
      </c>
      <c r="AI95" s="522">
        <f t="shared" si="206"/>
        <v>0</v>
      </c>
      <c r="AJ95" s="523">
        <f t="shared" si="207"/>
        <v>0</v>
      </c>
      <c r="AK95" s="524" t="str">
        <f t="shared" si="208"/>
        <v/>
      </c>
      <c r="AM95" s="541" t="s">
        <v>272</v>
      </c>
      <c r="AN95" s="522">
        <f>F95*$AN$18</f>
        <v>0</v>
      </c>
      <c r="AO95" s="472">
        <v>0</v>
      </c>
      <c r="AP95" s="521" t="s">
        <v>281</v>
      </c>
      <c r="AQ95" s="522">
        <f t="shared" si="209"/>
        <v>0</v>
      </c>
      <c r="AR95" s="523">
        <f t="shared" si="210"/>
        <v>0</v>
      </c>
      <c r="AS95" s="524" t="str">
        <f t="shared" si="211"/>
        <v/>
      </c>
    </row>
    <row r="96" spans="3:45" x14ac:dyDescent="0.25">
      <c r="C96" s="501"/>
      <c r="D96" s="495"/>
      <c r="E96" s="506"/>
      <c r="F96" s="507"/>
      <c r="G96" s="470"/>
      <c r="H96" s="518"/>
      <c r="I96" s="495"/>
      <c r="J96" s="498"/>
      <c r="K96" s="522"/>
      <c r="L96" s="523"/>
      <c r="M96" s="496"/>
      <c r="O96" s="537"/>
      <c r="P96" s="522"/>
      <c r="Q96" s="495"/>
      <c r="R96" s="498"/>
      <c r="S96" s="522"/>
      <c r="T96" s="523"/>
      <c r="U96" s="496"/>
      <c r="W96" s="537"/>
      <c r="X96" s="522"/>
      <c r="Y96" s="495"/>
      <c r="Z96" s="498"/>
      <c r="AA96" s="522"/>
      <c r="AB96" s="523"/>
      <c r="AC96" s="496"/>
      <c r="AE96" s="537"/>
      <c r="AF96" s="522"/>
      <c r="AG96" s="495"/>
      <c r="AH96" s="498"/>
      <c r="AI96" s="522"/>
      <c r="AJ96" s="523"/>
      <c r="AK96" s="496"/>
      <c r="AM96" s="537"/>
      <c r="AN96" s="522"/>
      <c r="AO96" s="495"/>
      <c r="AP96" s="498"/>
      <c r="AQ96" s="522"/>
      <c r="AR96" s="523"/>
      <c r="AS96" s="496"/>
    </row>
    <row r="97" spans="3:45" x14ac:dyDescent="0.25">
      <c r="C97" s="501" t="s">
        <v>198</v>
      </c>
      <c r="D97" s="495" t="str">
        <f>Productenlijst!C115</f>
        <v xml:space="preserve">Inrichtingsplan openbare ruimte </v>
      </c>
      <c r="E97" s="506"/>
      <c r="F97" s="504">
        <f>SUM(F98:F102)</f>
        <v>0</v>
      </c>
      <c r="G97" s="470"/>
      <c r="H97" s="497">
        <f>SUM(H98:H102)</f>
        <v>0</v>
      </c>
      <c r="I97" s="495"/>
      <c r="J97" s="498"/>
      <c r="K97" s="499">
        <f>SUM(K98:K102)</f>
        <v>0</v>
      </c>
      <c r="L97" s="500">
        <f>SUM(L98:L102)</f>
        <v>0</v>
      </c>
      <c r="M97" s="496"/>
      <c r="O97" s="537" t="s">
        <v>289</v>
      </c>
      <c r="P97" s="499">
        <f>SUM(P98:P102)</f>
        <v>0</v>
      </c>
      <c r="Q97" s="495"/>
      <c r="R97" s="498"/>
      <c r="S97" s="499">
        <f>SUM(S98:S102)</f>
        <v>0</v>
      </c>
      <c r="T97" s="500">
        <f>SUM(T98:T102)</f>
        <v>0</v>
      </c>
      <c r="U97" s="496"/>
      <c r="W97" s="537" t="s">
        <v>289</v>
      </c>
      <c r="X97" s="499">
        <f>SUM(X98:X102)</f>
        <v>0</v>
      </c>
      <c r="Y97" s="495"/>
      <c r="Z97" s="498"/>
      <c r="AA97" s="499">
        <f>SUM(AA98:AA102)</f>
        <v>0</v>
      </c>
      <c r="AB97" s="500">
        <f>SUM(AB98:AB102)</f>
        <v>0</v>
      </c>
      <c r="AC97" s="496"/>
      <c r="AE97" s="537" t="s">
        <v>289</v>
      </c>
      <c r="AF97" s="499">
        <f>SUM(AF98:AF102)</f>
        <v>0</v>
      </c>
      <c r="AG97" s="495"/>
      <c r="AH97" s="498"/>
      <c r="AI97" s="499">
        <f>SUM(AI98:AI102)</f>
        <v>0</v>
      </c>
      <c r="AJ97" s="500">
        <f>SUM(AJ98:AJ102)</f>
        <v>0</v>
      </c>
      <c r="AK97" s="496"/>
      <c r="AM97" s="537" t="s">
        <v>289</v>
      </c>
      <c r="AN97" s="499">
        <f>SUM(AN98:AN102)</f>
        <v>0</v>
      </c>
      <c r="AO97" s="495"/>
      <c r="AP97" s="498"/>
      <c r="AQ97" s="499">
        <f>SUM(AQ98:AQ102)</f>
        <v>0</v>
      </c>
      <c r="AR97" s="500">
        <f>SUM(AR98:AR102)</f>
        <v>0</v>
      </c>
      <c r="AS97" s="496"/>
    </row>
    <row r="98" spans="3:45" x14ac:dyDescent="0.25">
      <c r="C98" s="501"/>
      <c r="D98" s="495"/>
      <c r="E98" s="506" t="s">
        <v>202</v>
      </c>
      <c r="F98" s="507">
        <f>Productenlijst!M116+Productenlijst!M117</f>
        <v>0</v>
      </c>
      <c r="G98" s="470"/>
      <c r="H98" s="518">
        <f>F98*$H$18</f>
        <v>0</v>
      </c>
      <c r="I98" s="472">
        <v>0</v>
      </c>
      <c r="J98" s="521" t="s">
        <v>281</v>
      </c>
      <c r="K98" s="522">
        <f t="shared" ref="K98:K102" si="212">I98*H98</f>
        <v>0</v>
      </c>
      <c r="L98" s="523">
        <f t="shared" ref="L98:L102" si="213">H98-K98</f>
        <v>0</v>
      </c>
      <c r="M98" s="524" t="str">
        <f t="shared" ref="M98:M102" si="214">IF(I98&gt;90%,"X","")</f>
        <v/>
      </c>
      <c r="O98" s="541" t="s">
        <v>290</v>
      </c>
      <c r="P98" s="522">
        <f>F98*$P$18</f>
        <v>0</v>
      </c>
      <c r="Q98" s="472">
        <v>0</v>
      </c>
      <c r="R98" s="521" t="s">
        <v>281</v>
      </c>
      <c r="S98" s="522">
        <f t="shared" ref="S98:S102" si="215">Q98*P98</f>
        <v>0</v>
      </c>
      <c r="T98" s="523">
        <f t="shared" ref="T98:T102" si="216">P98-S98</f>
        <v>0</v>
      </c>
      <c r="U98" s="524" t="str">
        <f t="shared" ref="U98:U102" si="217">IF(Q98&gt;90%,"X","")</f>
        <v/>
      </c>
      <c r="W98" s="541" t="s">
        <v>290</v>
      </c>
      <c r="X98" s="522">
        <f>F98*$X$18</f>
        <v>0</v>
      </c>
      <c r="Y98" s="472">
        <v>0</v>
      </c>
      <c r="Z98" s="521" t="s">
        <v>281</v>
      </c>
      <c r="AA98" s="522">
        <f t="shared" ref="AA98:AA102" si="218">Y98*X98</f>
        <v>0</v>
      </c>
      <c r="AB98" s="523">
        <f t="shared" ref="AB98:AB102" si="219">X98-AA98</f>
        <v>0</v>
      </c>
      <c r="AC98" s="524" t="str">
        <f t="shared" ref="AC98:AC102" si="220">IF(Y98&gt;90%,"X","")</f>
        <v/>
      </c>
      <c r="AE98" s="541" t="s">
        <v>290</v>
      </c>
      <c r="AF98" s="522">
        <f>F98*$AF$18</f>
        <v>0</v>
      </c>
      <c r="AG98" s="472">
        <v>0</v>
      </c>
      <c r="AH98" s="521" t="s">
        <v>281</v>
      </c>
      <c r="AI98" s="522">
        <f t="shared" ref="AI98:AI102" si="221">AG98*AF98</f>
        <v>0</v>
      </c>
      <c r="AJ98" s="523">
        <f t="shared" ref="AJ98:AJ102" si="222">AF98-AI98</f>
        <v>0</v>
      </c>
      <c r="AK98" s="524" t="str">
        <f t="shared" ref="AK98:AK102" si="223">IF(AG98&gt;90%,"X","")</f>
        <v/>
      </c>
      <c r="AM98" s="541" t="s">
        <v>290</v>
      </c>
      <c r="AN98" s="522">
        <f>F98*$AN$18</f>
        <v>0</v>
      </c>
      <c r="AO98" s="472">
        <v>0</v>
      </c>
      <c r="AP98" s="521" t="s">
        <v>281</v>
      </c>
      <c r="AQ98" s="522">
        <f t="shared" ref="AQ98:AQ102" si="224">AO98*AN98</f>
        <v>0</v>
      </c>
      <c r="AR98" s="523">
        <f t="shared" ref="AR98:AR102" si="225">AN98-AQ98</f>
        <v>0</v>
      </c>
      <c r="AS98" s="524" t="str">
        <f t="shared" ref="AS98:AS102" si="226">IF(AO98&gt;90%,"X","")</f>
        <v/>
      </c>
    </row>
    <row r="99" spans="3:45" x14ac:dyDescent="0.25">
      <c r="C99" s="501"/>
      <c r="D99" s="495"/>
      <c r="E99" s="506" t="s">
        <v>150</v>
      </c>
      <c r="F99" s="507">
        <f>Productenlijst!M118</f>
        <v>0</v>
      </c>
      <c r="G99" s="470"/>
      <c r="H99" s="518">
        <f>F99*$H$18</f>
        <v>0</v>
      </c>
      <c r="I99" s="472">
        <v>0</v>
      </c>
      <c r="J99" s="521" t="s">
        <v>281</v>
      </c>
      <c r="K99" s="522">
        <f t="shared" si="212"/>
        <v>0</v>
      </c>
      <c r="L99" s="523">
        <f t="shared" si="213"/>
        <v>0</v>
      </c>
      <c r="M99" s="524" t="str">
        <f t="shared" si="214"/>
        <v/>
      </c>
      <c r="O99" s="541" t="s">
        <v>271</v>
      </c>
      <c r="P99" s="522">
        <f>F99*$P$18</f>
        <v>0</v>
      </c>
      <c r="Q99" s="472">
        <v>0</v>
      </c>
      <c r="R99" s="521" t="s">
        <v>281</v>
      </c>
      <c r="S99" s="522">
        <f t="shared" si="215"/>
        <v>0</v>
      </c>
      <c r="T99" s="523">
        <f t="shared" si="216"/>
        <v>0</v>
      </c>
      <c r="U99" s="524" t="str">
        <f t="shared" si="217"/>
        <v/>
      </c>
      <c r="W99" s="541" t="s">
        <v>271</v>
      </c>
      <c r="X99" s="522">
        <f>F99*$X$18</f>
        <v>0</v>
      </c>
      <c r="Y99" s="472">
        <v>0</v>
      </c>
      <c r="Z99" s="521" t="s">
        <v>281</v>
      </c>
      <c r="AA99" s="522">
        <f t="shared" si="218"/>
        <v>0</v>
      </c>
      <c r="AB99" s="523">
        <f t="shared" si="219"/>
        <v>0</v>
      </c>
      <c r="AC99" s="524" t="str">
        <f t="shared" si="220"/>
        <v/>
      </c>
      <c r="AE99" s="541" t="s">
        <v>271</v>
      </c>
      <c r="AF99" s="522">
        <f>F99*$AF$18</f>
        <v>0</v>
      </c>
      <c r="AG99" s="472">
        <v>0</v>
      </c>
      <c r="AH99" s="521" t="s">
        <v>281</v>
      </c>
      <c r="AI99" s="522">
        <f t="shared" si="221"/>
        <v>0</v>
      </c>
      <c r="AJ99" s="523">
        <f t="shared" si="222"/>
        <v>0</v>
      </c>
      <c r="AK99" s="524" t="str">
        <f t="shared" si="223"/>
        <v/>
      </c>
      <c r="AM99" s="541" t="s">
        <v>271</v>
      </c>
      <c r="AN99" s="522">
        <f>F99*$AN$18</f>
        <v>0</v>
      </c>
      <c r="AO99" s="472">
        <v>0</v>
      </c>
      <c r="AP99" s="521" t="s">
        <v>281</v>
      </c>
      <c r="AQ99" s="522">
        <f t="shared" si="224"/>
        <v>0</v>
      </c>
      <c r="AR99" s="523">
        <f t="shared" si="225"/>
        <v>0</v>
      </c>
      <c r="AS99" s="524" t="str">
        <f t="shared" si="226"/>
        <v/>
      </c>
    </row>
    <row r="100" spans="3:45" x14ac:dyDescent="0.25">
      <c r="C100" s="501"/>
      <c r="D100" s="495"/>
      <c r="E100" s="506" t="s">
        <v>156</v>
      </c>
      <c r="F100" s="507">
        <f>Productenlijst!M119</f>
        <v>0</v>
      </c>
      <c r="G100" s="470"/>
      <c r="H100" s="518">
        <f>F100*$H$18</f>
        <v>0</v>
      </c>
      <c r="I100" s="472">
        <v>0</v>
      </c>
      <c r="J100" s="521" t="s">
        <v>281</v>
      </c>
      <c r="K100" s="522">
        <f t="shared" si="212"/>
        <v>0</v>
      </c>
      <c r="L100" s="523">
        <f t="shared" si="213"/>
        <v>0</v>
      </c>
      <c r="M100" s="524" t="str">
        <f t="shared" si="214"/>
        <v/>
      </c>
      <c r="O100" s="541" t="s">
        <v>276</v>
      </c>
      <c r="P100" s="522">
        <f>F100*$P$18</f>
        <v>0</v>
      </c>
      <c r="Q100" s="472">
        <v>0</v>
      </c>
      <c r="R100" s="521" t="s">
        <v>281</v>
      </c>
      <c r="S100" s="522">
        <f t="shared" si="215"/>
        <v>0</v>
      </c>
      <c r="T100" s="523">
        <f t="shared" si="216"/>
        <v>0</v>
      </c>
      <c r="U100" s="524" t="str">
        <f t="shared" si="217"/>
        <v/>
      </c>
      <c r="W100" s="541" t="s">
        <v>276</v>
      </c>
      <c r="X100" s="522">
        <f>F100*$X$18</f>
        <v>0</v>
      </c>
      <c r="Y100" s="472">
        <v>0</v>
      </c>
      <c r="Z100" s="521" t="s">
        <v>281</v>
      </c>
      <c r="AA100" s="522">
        <f t="shared" si="218"/>
        <v>0</v>
      </c>
      <c r="AB100" s="523">
        <f t="shared" si="219"/>
        <v>0</v>
      </c>
      <c r="AC100" s="524" t="str">
        <f t="shared" si="220"/>
        <v/>
      </c>
      <c r="AE100" s="541" t="s">
        <v>276</v>
      </c>
      <c r="AF100" s="522">
        <f>F100*$AF$18</f>
        <v>0</v>
      </c>
      <c r="AG100" s="472">
        <v>0</v>
      </c>
      <c r="AH100" s="521" t="s">
        <v>281</v>
      </c>
      <c r="AI100" s="522">
        <f t="shared" si="221"/>
        <v>0</v>
      </c>
      <c r="AJ100" s="523">
        <f t="shared" si="222"/>
        <v>0</v>
      </c>
      <c r="AK100" s="524" t="str">
        <f t="shared" si="223"/>
        <v/>
      </c>
      <c r="AM100" s="541" t="s">
        <v>276</v>
      </c>
      <c r="AN100" s="522">
        <f>F100*$AN$18</f>
        <v>0</v>
      </c>
      <c r="AO100" s="472">
        <v>0</v>
      </c>
      <c r="AP100" s="521" t="s">
        <v>281</v>
      </c>
      <c r="AQ100" s="522">
        <f t="shared" si="224"/>
        <v>0</v>
      </c>
      <c r="AR100" s="523">
        <f t="shared" si="225"/>
        <v>0</v>
      </c>
      <c r="AS100" s="524" t="str">
        <f t="shared" si="226"/>
        <v/>
      </c>
    </row>
    <row r="101" spans="3:45" x14ac:dyDescent="0.25">
      <c r="C101" s="501"/>
      <c r="D101" s="495"/>
      <c r="E101" s="506" t="s">
        <v>158</v>
      </c>
      <c r="F101" s="507">
        <f>Productenlijst!M120</f>
        <v>0</v>
      </c>
      <c r="G101" s="470"/>
      <c r="H101" s="518">
        <f>F101*$H$18</f>
        <v>0</v>
      </c>
      <c r="I101" s="472">
        <v>0</v>
      </c>
      <c r="J101" s="521" t="s">
        <v>281</v>
      </c>
      <c r="K101" s="522">
        <f t="shared" si="212"/>
        <v>0</v>
      </c>
      <c r="L101" s="523">
        <f t="shared" si="213"/>
        <v>0</v>
      </c>
      <c r="M101" s="524" t="str">
        <f t="shared" si="214"/>
        <v/>
      </c>
      <c r="O101" s="541" t="s">
        <v>278</v>
      </c>
      <c r="P101" s="522">
        <f>F101*$P$18</f>
        <v>0</v>
      </c>
      <c r="Q101" s="472">
        <v>0</v>
      </c>
      <c r="R101" s="521" t="s">
        <v>281</v>
      </c>
      <c r="S101" s="522">
        <f t="shared" si="215"/>
        <v>0</v>
      </c>
      <c r="T101" s="523">
        <f t="shared" si="216"/>
        <v>0</v>
      </c>
      <c r="U101" s="524" t="str">
        <f t="shared" si="217"/>
        <v/>
      </c>
      <c r="W101" s="541" t="s">
        <v>278</v>
      </c>
      <c r="X101" s="522">
        <f>F101*$X$18</f>
        <v>0</v>
      </c>
      <c r="Y101" s="472">
        <v>0</v>
      </c>
      <c r="Z101" s="521" t="s">
        <v>281</v>
      </c>
      <c r="AA101" s="522">
        <f t="shared" si="218"/>
        <v>0</v>
      </c>
      <c r="AB101" s="523">
        <f t="shared" si="219"/>
        <v>0</v>
      </c>
      <c r="AC101" s="524" t="str">
        <f t="shared" si="220"/>
        <v/>
      </c>
      <c r="AE101" s="541" t="s">
        <v>278</v>
      </c>
      <c r="AF101" s="522">
        <f>F101*$AF$18</f>
        <v>0</v>
      </c>
      <c r="AG101" s="472">
        <v>0</v>
      </c>
      <c r="AH101" s="521" t="s">
        <v>281</v>
      </c>
      <c r="AI101" s="522">
        <f t="shared" si="221"/>
        <v>0</v>
      </c>
      <c r="AJ101" s="523">
        <f t="shared" si="222"/>
        <v>0</v>
      </c>
      <c r="AK101" s="524" t="str">
        <f t="shared" si="223"/>
        <v/>
      </c>
      <c r="AM101" s="541" t="s">
        <v>278</v>
      </c>
      <c r="AN101" s="522">
        <f>F101*$AN$18</f>
        <v>0</v>
      </c>
      <c r="AO101" s="472">
        <v>0</v>
      </c>
      <c r="AP101" s="521" t="s">
        <v>281</v>
      </c>
      <c r="AQ101" s="522">
        <f t="shared" si="224"/>
        <v>0</v>
      </c>
      <c r="AR101" s="523">
        <f t="shared" si="225"/>
        <v>0</v>
      </c>
      <c r="AS101" s="524" t="str">
        <f t="shared" si="226"/>
        <v/>
      </c>
    </row>
    <row r="102" spans="3:45" x14ac:dyDescent="0.25">
      <c r="C102" s="501"/>
      <c r="D102" s="495"/>
      <c r="E102" s="506" t="s">
        <v>151</v>
      </c>
      <c r="F102" s="507">
        <f>Productenlijst!M121</f>
        <v>0</v>
      </c>
      <c r="G102" s="470"/>
      <c r="H102" s="518">
        <f>F102*$H$18</f>
        <v>0</v>
      </c>
      <c r="I102" s="472">
        <v>0</v>
      </c>
      <c r="J102" s="521" t="s">
        <v>281</v>
      </c>
      <c r="K102" s="522">
        <f t="shared" si="212"/>
        <v>0</v>
      </c>
      <c r="L102" s="523">
        <f t="shared" si="213"/>
        <v>0</v>
      </c>
      <c r="M102" s="524" t="str">
        <f t="shared" si="214"/>
        <v/>
      </c>
      <c r="O102" s="541" t="s">
        <v>272</v>
      </c>
      <c r="P102" s="522">
        <f>F102*$P$18</f>
        <v>0</v>
      </c>
      <c r="Q102" s="472">
        <v>0</v>
      </c>
      <c r="R102" s="521" t="s">
        <v>281</v>
      </c>
      <c r="S102" s="522">
        <f t="shared" si="215"/>
        <v>0</v>
      </c>
      <c r="T102" s="523">
        <f t="shared" si="216"/>
        <v>0</v>
      </c>
      <c r="U102" s="524" t="str">
        <f t="shared" si="217"/>
        <v/>
      </c>
      <c r="W102" s="541" t="s">
        <v>272</v>
      </c>
      <c r="X102" s="522">
        <f>F102*$X$18</f>
        <v>0</v>
      </c>
      <c r="Y102" s="472">
        <v>0</v>
      </c>
      <c r="Z102" s="521" t="s">
        <v>281</v>
      </c>
      <c r="AA102" s="522">
        <f t="shared" si="218"/>
        <v>0</v>
      </c>
      <c r="AB102" s="523">
        <f t="shared" si="219"/>
        <v>0</v>
      </c>
      <c r="AC102" s="524" t="str">
        <f t="shared" si="220"/>
        <v/>
      </c>
      <c r="AE102" s="541" t="s">
        <v>272</v>
      </c>
      <c r="AF102" s="522">
        <f>F102*$AF$18</f>
        <v>0</v>
      </c>
      <c r="AG102" s="472">
        <v>0</v>
      </c>
      <c r="AH102" s="521" t="s">
        <v>281</v>
      </c>
      <c r="AI102" s="522">
        <f t="shared" si="221"/>
        <v>0</v>
      </c>
      <c r="AJ102" s="523">
        <f t="shared" si="222"/>
        <v>0</v>
      </c>
      <c r="AK102" s="524" t="str">
        <f t="shared" si="223"/>
        <v/>
      </c>
      <c r="AM102" s="541" t="s">
        <v>272</v>
      </c>
      <c r="AN102" s="522">
        <f>F102*$AN$18</f>
        <v>0</v>
      </c>
      <c r="AO102" s="472">
        <v>0</v>
      </c>
      <c r="AP102" s="521" t="s">
        <v>281</v>
      </c>
      <c r="AQ102" s="522">
        <f t="shared" si="224"/>
        <v>0</v>
      </c>
      <c r="AR102" s="523">
        <f t="shared" si="225"/>
        <v>0</v>
      </c>
      <c r="AS102" s="524" t="str">
        <f t="shared" si="226"/>
        <v/>
      </c>
    </row>
    <row r="103" spans="3:45" x14ac:dyDescent="0.25">
      <c r="C103" s="501"/>
      <c r="D103" s="495"/>
      <c r="E103" s="506"/>
      <c r="F103" s="507"/>
      <c r="G103" s="470"/>
      <c r="H103" s="518"/>
      <c r="I103" s="495"/>
      <c r="J103" s="498"/>
      <c r="K103" s="522"/>
      <c r="L103" s="523"/>
      <c r="M103" s="496"/>
      <c r="O103" s="537"/>
      <c r="P103" s="522"/>
      <c r="Q103" s="495"/>
      <c r="R103" s="498"/>
      <c r="S103" s="522"/>
      <c r="T103" s="523"/>
      <c r="U103" s="496"/>
      <c r="W103" s="537"/>
      <c r="X103" s="522"/>
      <c r="Y103" s="495"/>
      <c r="Z103" s="498"/>
      <c r="AA103" s="522"/>
      <c r="AB103" s="523"/>
      <c r="AC103" s="496"/>
      <c r="AE103" s="537"/>
      <c r="AF103" s="522"/>
      <c r="AG103" s="495"/>
      <c r="AH103" s="498"/>
      <c r="AI103" s="522"/>
      <c r="AJ103" s="523"/>
      <c r="AK103" s="496"/>
      <c r="AM103" s="537"/>
      <c r="AN103" s="522"/>
      <c r="AO103" s="495"/>
      <c r="AP103" s="498"/>
      <c r="AQ103" s="522"/>
      <c r="AR103" s="523"/>
      <c r="AS103" s="496"/>
    </row>
    <row r="104" spans="3:45" x14ac:dyDescent="0.25">
      <c r="C104" s="501" t="s">
        <v>204</v>
      </c>
      <c r="D104" s="495" t="str">
        <f>Productenlijst!C123</f>
        <v>Voorbereiding, toezicht en directievoering bij civiel en cultuurtechnische werken</v>
      </c>
      <c r="E104" s="506"/>
      <c r="F104" s="504">
        <f>SUM(F105:F107)</f>
        <v>0</v>
      </c>
      <c r="G104" s="470"/>
      <c r="H104" s="497">
        <f>SUM(H105:H107)</f>
        <v>0</v>
      </c>
      <c r="I104" s="495"/>
      <c r="J104" s="498"/>
      <c r="K104" s="499">
        <f>SUM(K105:K107)</f>
        <v>0</v>
      </c>
      <c r="L104" s="500">
        <f>SUM(L105:L107)</f>
        <v>0</v>
      </c>
      <c r="M104" s="496"/>
      <c r="O104" s="537" t="s">
        <v>291</v>
      </c>
      <c r="P104" s="499">
        <f>SUM(P105:P107)</f>
        <v>0</v>
      </c>
      <c r="Q104" s="495"/>
      <c r="R104" s="498"/>
      <c r="S104" s="499">
        <f>SUM(S105:S107)</f>
        <v>0</v>
      </c>
      <c r="T104" s="500">
        <f>SUM(T105:T107)</f>
        <v>0</v>
      </c>
      <c r="U104" s="496"/>
      <c r="W104" s="537" t="s">
        <v>291</v>
      </c>
      <c r="X104" s="499">
        <f>SUM(X105:X107)</f>
        <v>0</v>
      </c>
      <c r="Y104" s="495"/>
      <c r="Z104" s="498"/>
      <c r="AA104" s="499">
        <f>SUM(AA105:AA107)</f>
        <v>0</v>
      </c>
      <c r="AB104" s="500">
        <f>SUM(AB105:AB107)</f>
        <v>0</v>
      </c>
      <c r="AC104" s="496"/>
      <c r="AE104" s="537" t="s">
        <v>291</v>
      </c>
      <c r="AF104" s="499">
        <f>SUM(AF105:AF107)</f>
        <v>0</v>
      </c>
      <c r="AG104" s="495"/>
      <c r="AH104" s="498"/>
      <c r="AI104" s="499">
        <f>SUM(AI105:AI107)</f>
        <v>0</v>
      </c>
      <c r="AJ104" s="500">
        <f>SUM(AJ105:AJ107)</f>
        <v>0</v>
      </c>
      <c r="AK104" s="496"/>
      <c r="AM104" s="537" t="s">
        <v>291</v>
      </c>
      <c r="AN104" s="499">
        <f>SUM(AN105:AN107)</f>
        <v>0</v>
      </c>
      <c r="AO104" s="495"/>
      <c r="AP104" s="498"/>
      <c r="AQ104" s="499">
        <f>SUM(AQ105:AQ107)</f>
        <v>0</v>
      </c>
      <c r="AR104" s="500">
        <f>SUM(AR105:AR107)</f>
        <v>0</v>
      </c>
      <c r="AS104" s="496"/>
    </row>
    <row r="105" spans="3:45" x14ac:dyDescent="0.25">
      <c r="C105" s="501"/>
      <c r="D105" s="506" t="str">
        <f>Productenlijst!E124</f>
        <v>a. Slopen</v>
      </c>
      <c r="E105" s="506" t="s">
        <v>207</v>
      </c>
      <c r="F105" s="507">
        <f>Productenlijst!M124</f>
        <v>0</v>
      </c>
      <c r="G105" s="470"/>
      <c r="H105" s="518">
        <f>F105*$H$18</f>
        <v>0</v>
      </c>
      <c r="I105" s="472">
        <v>0</v>
      </c>
      <c r="J105" s="521" t="s">
        <v>292</v>
      </c>
      <c r="K105" s="522">
        <f t="shared" ref="K105:K107" si="227">I105*H105</f>
        <v>0</v>
      </c>
      <c r="L105" s="523">
        <f t="shared" ref="L105:L107" si="228">H105-K105</f>
        <v>0</v>
      </c>
      <c r="M105" s="524" t="str">
        <f>IF(I105&gt;80%,"X","")</f>
        <v/>
      </c>
      <c r="O105" s="541" t="s">
        <v>293</v>
      </c>
      <c r="P105" s="522">
        <f>F105*$P$18</f>
        <v>0</v>
      </c>
      <c r="Q105" s="472">
        <v>0</v>
      </c>
      <c r="R105" s="521" t="s">
        <v>292</v>
      </c>
      <c r="S105" s="522">
        <f t="shared" ref="S105:S107" si="229">Q105*P105</f>
        <v>0</v>
      </c>
      <c r="T105" s="523">
        <f t="shared" ref="T105:T107" si="230">P105-S105</f>
        <v>0</v>
      </c>
      <c r="U105" s="524" t="str">
        <f>IF(Q105&gt;80%,"X","")</f>
        <v/>
      </c>
      <c r="W105" s="541" t="s">
        <v>293</v>
      </c>
      <c r="X105" s="522">
        <f>F105*$X$18</f>
        <v>0</v>
      </c>
      <c r="Y105" s="472">
        <v>0</v>
      </c>
      <c r="Z105" s="521" t="s">
        <v>292</v>
      </c>
      <c r="AA105" s="522">
        <f t="shared" ref="AA105:AA107" si="231">Y105*X105</f>
        <v>0</v>
      </c>
      <c r="AB105" s="523">
        <f t="shared" ref="AB105:AB107" si="232">X105-AA105</f>
        <v>0</v>
      </c>
      <c r="AC105" s="524" t="str">
        <f>IF(Y105&gt;80%,"X","")</f>
        <v/>
      </c>
      <c r="AE105" s="541" t="s">
        <v>293</v>
      </c>
      <c r="AF105" s="522">
        <f>F105*$AF$18</f>
        <v>0</v>
      </c>
      <c r="AG105" s="472">
        <v>0</v>
      </c>
      <c r="AH105" s="521" t="s">
        <v>292</v>
      </c>
      <c r="AI105" s="522">
        <f t="shared" ref="AI105:AI107" si="233">AG105*AF105</f>
        <v>0</v>
      </c>
      <c r="AJ105" s="523">
        <f t="shared" ref="AJ105:AJ107" si="234">AF105-AI105</f>
        <v>0</v>
      </c>
      <c r="AK105" s="524" t="str">
        <f>IF(AG105&gt;80%,"X","")</f>
        <v/>
      </c>
      <c r="AM105" s="541" t="s">
        <v>293</v>
      </c>
      <c r="AN105" s="522">
        <f>F105*$AN$18</f>
        <v>0</v>
      </c>
      <c r="AO105" s="472">
        <v>0</v>
      </c>
      <c r="AP105" s="521" t="s">
        <v>292</v>
      </c>
      <c r="AQ105" s="522">
        <f t="shared" ref="AQ105:AQ107" si="235">AO105*AN105</f>
        <v>0</v>
      </c>
      <c r="AR105" s="523">
        <f t="shared" ref="AR105:AR107" si="236">AN105-AQ105</f>
        <v>0</v>
      </c>
      <c r="AS105" s="524" t="str">
        <f>IF(AO105&gt;80%,"X","")</f>
        <v/>
      </c>
    </row>
    <row r="106" spans="3:45" x14ac:dyDescent="0.25">
      <c r="C106" s="501"/>
      <c r="D106" s="506" t="str">
        <f>Productenlijst!E125</f>
        <v>b. Ophogen/voorbelasten</v>
      </c>
      <c r="E106" s="506" t="s">
        <v>207</v>
      </c>
      <c r="F106" s="507">
        <f>Productenlijst!M125</f>
        <v>0</v>
      </c>
      <c r="G106" s="470"/>
      <c r="H106" s="518">
        <f>F106*$H$18</f>
        <v>0</v>
      </c>
      <c r="I106" s="472">
        <v>0</v>
      </c>
      <c r="J106" s="521" t="s">
        <v>292</v>
      </c>
      <c r="K106" s="522">
        <f t="shared" si="227"/>
        <v>0</v>
      </c>
      <c r="L106" s="523">
        <f t="shared" si="228"/>
        <v>0</v>
      </c>
      <c r="M106" s="524" t="str">
        <f t="shared" ref="M106:M107" si="237">IF(I106&gt;80%,"X","")</f>
        <v/>
      </c>
      <c r="O106" s="541" t="s">
        <v>293</v>
      </c>
      <c r="P106" s="522">
        <f>F106*$P$18</f>
        <v>0</v>
      </c>
      <c r="Q106" s="472">
        <v>0</v>
      </c>
      <c r="R106" s="521" t="s">
        <v>292</v>
      </c>
      <c r="S106" s="522">
        <f t="shared" si="229"/>
        <v>0</v>
      </c>
      <c r="T106" s="523">
        <f t="shared" si="230"/>
        <v>0</v>
      </c>
      <c r="U106" s="524" t="str">
        <f t="shared" ref="U106:U107" si="238">IF(Q106&gt;80%,"X","")</f>
        <v/>
      </c>
      <c r="W106" s="541" t="s">
        <v>293</v>
      </c>
      <c r="X106" s="522">
        <f>F106*$X$18</f>
        <v>0</v>
      </c>
      <c r="Y106" s="472">
        <v>0</v>
      </c>
      <c r="Z106" s="521" t="s">
        <v>292</v>
      </c>
      <c r="AA106" s="522">
        <f t="shared" si="231"/>
        <v>0</v>
      </c>
      <c r="AB106" s="523">
        <f t="shared" si="232"/>
        <v>0</v>
      </c>
      <c r="AC106" s="524" t="str">
        <f t="shared" ref="AC106:AC107" si="239">IF(Y106&gt;80%,"X","")</f>
        <v/>
      </c>
      <c r="AE106" s="541" t="s">
        <v>293</v>
      </c>
      <c r="AF106" s="522">
        <f>F106*$AF$18</f>
        <v>0</v>
      </c>
      <c r="AG106" s="472">
        <v>0</v>
      </c>
      <c r="AH106" s="521" t="s">
        <v>292</v>
      </c>
      <c r="AI106" s="522">
        <f t="shared" si="233"/>
        <v>0</v>
      </c>
      <c r="AJ106" s="523">
        <f t="shared" si="234"/>
        <v>0</v>
      </c>
      <c r="AK106" s="524" t="str">
        <f t="shared" ref="AK106:AK107" si="240">IF(AG106&gt;80%,"X","")</f>
        <v/>
      </c>
      <c r="AM106" s="541" t="s">
        <v>293</v>
      </c>
      <c r="AN106" s="522">
        <f>F106*$AN$18</f>
        <v>0</v>
      </c>
      <c r="AO106" s="472">
        <v>0</v>
      </c>
      <c r="AP106" s="521" t="s">
        <v>292</v>
      </c>
      <c r="AQ106" s="522">
        <f t="shared" si="235"/>
        <v>0</v>
      </c>
      <c r="AR106" s="523">
        <f t="shared" si="236"/>
        <v>0</v>
      </c>
      <c r="AS106" s="524" t="str">
        <f t="shared" ref="AS106:AS107" si="241">IF(AO106&gt;80%,"X","")</f>
        <v/>
      </c>
    </row>
    <row r="107" spans="3:45" x14ac:dyDescent="0.25">
      <c r="C107" s="501"/>
      <c r="D107" s="506" t="str">
        <f>Productenlijst!E126</f>
        <v>c. Bouw en woonrijpmaken</v>
      </c>
      <c r="E107" s="506" t="s">
        <v>207</v>
      </c>
      <c r="F107" s="507">
        <f>Productenlijst!M126</f>
        <v>0</v>
      </c>
      <c r="G107" s="470"/>
      <c r="H107" s="518">
        <f>F107*$H$18</f>
        <v>0</v>
      </c>
      <c r="I107" s="472">
        <v>0</v>
      </c>
      <c r="J107" s="521" t="s">
        <v>292</v>
      </c>
      <c r="K107" s="522">
        <f t="shared" si="227"/>
        <v>0</v>
      </c>
      <c r="L107" s="523">
        <f t="shared" si="228"/>
        <v>0</v>
      </c>
      <c r="M107" s="524" t="str">
        <f t="shared" si="237"/>
        <v/>
      </c>
      <c r="O107" s="541" t="s">
        <v>293</v>
      </c>
      <c r="P107" s="522">
        <f>F107*$P$18</f>
        <v>0</v>
      </c>
      <c r="Q107" s="472">
        <v>0</v>
      </c>
      <c r="R107" s="521" t="s">
        <v>292</v>
      </c>
      <c r="S107" s="522">
        <f t="shared" si="229"/>
        <v>0</v>
      </c>
      <c r="T107" s="523">
        <f t="shared" si="230"/>
        <v>0</v>
      </c>
      <c r="U107" s="524" t="str">
        <f t="shared" si="238"/>
        <v/>
      </c>
      <c r="W107" s="541" t="s">
        <v>293</v>
      </c>
      <c r="X107" s="522">
        <f>F107*$X$18</f>
        <v>0</v>
      </c>
      <c r="Y107" s="472">
        <v>0</v>
      </c>
      <c r="Z107" s="521" t="s">
        <v>292</v>
      </c>
      <c r="AA107" s="522">
        <f t="shared" si="231"/>
        <v>0</v>
      </c>
      <c r="AB107" s="523">
        <f t="shared" si="232"/>
        <v>0</v>
      </c>
      <c r="AC107" s="524" t="str">
        <f t="shared" si="239"/>
        <v/>
      </c>
      <c r="AE107" s="541" t="s">
        <v>293</v>
      </c>
      <c r="AF107" s="522">
        <f>F107*$AF$18</f>
        <v>0</v>
      </c>
      <c r="AG107" s="472">
        <v>0</v>
      </c>
      <c r="AH107" s="521" t="s">
        <v>292</v>
      </c>
      <c r="AI107" s="522">
        <f t="shared" si="233"/>
        <v>0</v>
      </c>
      <c r="AJ107" s="523">
        <f t="shared" si="234"/>
        <v>0</v>
      </c>
      <c r="AK107" s="524" t="str">
        <f t="shared" si="240"/>
        <v/>
      </c>
      <c r="AM107" s="541" t="s">
        <v>293</v>
      </c>
      <c r="AN107" s="522">
        <f>F107*$AN$18</f>
        <v>0</v>
      </c>
      <c r="AO107" s="472">
        <v>0</v>
      </c>
      <c r="AP107" s="521" t="s">
        <v>292</v>
      </c>
      <c r="AQ107" s="522">
        <f t="shared" si="235"/>
        <v>0</v>
      </c>
      <c r="AR107" s="523">
        <f t="shared" si="236"/>
        <v>0</v>
      </c>
      <c r="AS107" s="524" t="str">
        <f t="shared" si="241"/>
        <v/>
      </c>
    </row>
    <row r="108" spans="3:45" x14ac:dyDescent="0.25">
      <c r="C108" s="501"/>
      <c r="D108" s="495"/>
      <c r="E108" s="506"/>
      <c r="F108" s="507"/>
      <c r="G108" s="470"/>
      <c r="H108" s="518"/>
      <c r="I108" s="495"/>
      <c r="J108" s="498"/>
      <c r="K108" s="522"/>
      <c r="L108" s="523"/>
      <c r="M108" s="496"/>
      <c r="O108" s="537"/>
      <c r="P108" s="522"/>
      <c r="Q108" s="495"/>
      <c r="R108" s="498"/>
      <c r="S108" s="522"/>
      <c r="T108" s="523"/>
      <c r="U108" s="496"/>
      <c r="W108" s="537"/>
      <c r="X108" s="522"/>
      <c r="Y108" s="495"/>
      <c r="Z108" s="498"/>
      <c r="AA108" s="522"/>
      <c r="AB108" s="523"/>
      <c r="AC108" s="496"/>
      <c r="AE108" s="537"/>
      <c r="AF108" s="522"/>
      <c r="AG108" s="495"/>
      <c r="AH108" s="498"/>
      <c r="AI108" s="522"/>
      <c r="AJ108" s="523"/>
      <c r="AK108" s="496"/>
      <c r="AM108" s="537"/>
      <c r="AN108" s="522"/>
      <c r="AO108" s="495"/>
      <c r="AP108" s="498"/>
      <c r="AQ108" s="522"/>
      <c r="AR108" s="523"/>
      <c r="AS108" s="496"/>
    </row>
    <row r="109" spans="3:45" x14ac:dyDescent="0.25">
      <c r="C109" s="501" t="s">
        <v>211</v>
      </c>
      <c r="D109" s="495" t="str">
        <f>Productenlijst!C129</f>
        <v>Algemene en financiele verantwoording en aansturing van het project inclusief bestuurlijke besluitvorming</v>
      </c>
      <c r="E109" s="506"/>
      <c r="F109" s="504">
        <f>SUM(F110:F114)</f>
        <v>0</v>
      </c>
      <c r="G109" s="470"/>
      <c r="H109" s="499">
        <f>SUM(H110:H114)</f>
        <v>0</v>
      </c>
      <c r="I109" s="495"/>
      <c r="J109" s="498"/>
      <c r="K109" s="499">
        <f>SUM(K110:K114)</f>
        <v>0</v>
      </c>
      <c r="L109" s="500">
        <f>SUM(L110:L114)</f>
        <v>0</v>
      </c>
      <c r="M109" s="496"/>
      <c r="O109" s="537" t="s">
        <v>294</v>
      </c>
      <c r="P109" s="499">
        <f>SUM(P110:P114)</f>
        <v>0</v>
      </c>
      <c r="Q109" s="495"/>
      <c r="R109" s="498"/>
      <c r="S109" s="499">
        <f>SUM(S110:S114)</f>
        <v>0</v>
      </c>
      <c r="T109" s="500">
        <f>SUM(T110:T114)</f>
        <v>0</v>
      </c>
      <c r="U109" s="496"/>
      <c r="W109" s="537" t="s">
        <v>294</v>
      </c>
      <c r="X109" s="499">
        <f>SUM(X110:X114)</f>
        <v>0</v>
      </c>
      <c r="Y109" s="495"/>
      <c r="Z109" s="498"/>
      <c r="AA109" s="499">
        <f>SUM(AA110:AA114)</f>
        <v>0</v>
      </c>
      <c r="AB109" s="500">
        <f>SUM(AB110:AB114)</f>
        <v>0</v>
      </c>
      <c r="AC109" s="496"/>
      <c r="AE109" s="537" t="s">
        <v>294</v>
      </c>
      <c r="AF109" s="499">
        <f>SUM(AF110:AF114)</f>
        <v>0</v>
      </c>
      <c r="AG109" s="495"/>
      <c r="AH109" s="498"/>
      <c r="AI109" s="499">
        <f>SUM(AI110:AI114)</f>
        <v>0</v>
      </c>
      <c r="AJ109" s="500">
        <f>SUM(AJ110:AJ114)</f>
        <v>0</v>
      </c>
      <c r="AK109" s="496"/>
      <c r="AM109" s="537" t="s">
        <v>294</v>
      </c>
      <c r="AN109" s="499">
        <f>SUM(AN110:AN114)</f>
        <v>0</v>
      </c>
      <c r="AO109" s="495"/>
      <c r="AP109" s="498"/>
      <c r="AQ109" s="499">
        <f>SUM(AQ110:AQ114)</f>
        <v>0</v>
      </c>
      <c r="AR109" s="500">
        <f>SUM(AR110:AR114)</f>
        <v>0</v>
      </c>
      <c r="AS109" s="496"/>
    </row>
    <row r="110" spans="3:45" x14ac:dyDescent="0.25">
      <c r="C110" s="501"/>
      <c r="D110" s="495"/>
      <c r="E110" s="506" t="s">
        <v>150</v>
      </c>
      <c r="F110" s="507">
        <f>Productenlijst!M130+Productenlijst!M133</f>
        <v>0</v>
      </c>
      <c r="G110" s="470"/>
      <c r="H110" s="518">
        <f>F110*$H$18</f>
        <v>0</v>
      </c>
      <c r="I110" s="472">
        <v>0</v>
      </c>
      <c r="J110" s="521" t="s">
        <v>281</v>
      </c>
      <c r="K110" s="522">
        <f t="shared" ref="K110:K112" si="242">I110*H110</f>
        <v>0</v>
      </c>
      <c r="L110" s="523">
        <f t="shared" ref="L110:L112" si="243">H110-K110</f>
        <v>0</v>
      </c>
      <c r="M110" s="524" t="str">
        <f t="shared" ref="M110:M112" si="244">IF(I110&gt;90%,"X","")</f>
        <v/>
      </c>
      <c r="O110" s="541" t="s">
        <v>271</v>
      </c>
      <c r="P110" s="522">
        <f>F110*$P$18</f>
        <v>0</v>
      </c>
      <c r="Q110" s="472">
        <v>0</v>
      </c>
      <c r="R110" s="521" t="s">
        <v>281</v>
      </c>
      <c r="S110" s="522">
        <f t="shared" ref="S110:S112" si="245">Q110*P110</f>
        <v>0</v>
      </c>
      <c r="T110" s="523">
        <f t="shared" ref="T110:T112" si="246">P110-S110</f>
        <v>0</v>
      </c>
      <c r="U110" s="524" t="str">
        <f t="shared" ref="U110:U112" si="247">IF(Q110&gt;90%,"X","")</f>
        <v/>
      </c>
      <c r="W110" s="541" t="s">
        <v>271</v>
      </c>
      <c r="X110" s="522">
        <f>F110*$X$18</f>
        <v>0</v>
      </c>
      <c r="Y110" s="472">
        <v>0</v>
      </c>
      <c r="Z110" s="521" t="s">
        <v>281</v>
      </c>
      <c r="AA110" s="522">
        <f t="shared" ref="AA110:AA112" si="248">Y110*X110</f>
        <v>0</v>
      </c>
      <c r="AB110" s="523">
        <f t="shared" ref="AB110:AB112" si="249">X110-AA110</f>
        <v>0</v>
      </c>
      <c r="AC110" s="524" t="str">
        <f t="shared" ref="AC110:AC112" si="250">IF(Y110&gt;90%,"X","")</f>
        <v/>
      </c>
      <c r="AE110" s="541" t="s">
        <v>271</v>
      </c>
      <c r="AF110" s="522">
        <f>F110*$AF$18</f>
        <v>0</v>
      </c>
      <c r="AG110" s="472">
        <v>0</v>
      </c>
      <c r="AH110" s="521" t="s">
        <v>281</v>
      </c>
      <c r="AI110" s="522">
        <f t="shared" ref="AI110:AI112" si="251">AG110*AF110</f>
        <v>0</v>
      </c>
      <c r="AJ110" s="523">
        <f t="shared" ref="AJ110:AJ112" si="252">AF110-AI110</f>
        <v>0</v>
      </c>
      <c r="AK110" s="524" t="str">
        <f t="shared" ref="AK110:AK112" si="253">IF(AG110&gt;90%,"X","")</f>
        <v/>
      </c>
      <c r="AM110" s="541" t="s">
        <v>271</v>
      </c>
      <c r="AN110" s="522">
        <f>F110*$AN$18</f>
        <v>0</v>
      </c>
      <c r="AO110" s="472">
        <v>0</v>
      </c>
      <c r="AP110" s="521" t="s">
        <v>281</v>
      </c>
      <c r="AQ110" s="522">
        <f t="shared" ref="AQ110:AQ112" si="254">AO110*AN110</f>
        <v>0</v>
      </c>
      <c r="AR110" s="523">
        <f t="shared" ref="AR110:AR112" si="255">AN110-AQ110</f>
        <v>0</v>
      </c>
      <c r="AS110" s="524" t="str">
        <f t="shared" ref="AS110:AS112" si="256">IF(AO110&gt;90%,"X","")</f>
        <v/>
      </c>
    </row>
    <row r="111" spans="3:45" x14ac:dyDescent="0.25">
      <c r="C111" s="501"/>
      <c r="D111" s="495"/>
      <c r="E111" s="506" t="s">
        <v>216</v>
      </c>
      <c r="F111" s="507">
        <f>Productenlijst!M131+Productenlijst!M134</f>
        <v>0</v>
      </c>
      <c r="G111" s="470"/>
      <c r="H111" s="518">
        <f>F111*$H$18</f>
        <v>0</v>
      </c>
      <c r="I111" s="472">
        <v>0</v>
      </c>
      <c r="J111" s="521" t="s">
        <v>281</v>
      </c>
      <c r="K111" s="522">
        <f t="shared" si="242"/>
        <v>0</v>
      </c>
      <c r="L111" s="523">
        <f t="shared" si="243"/>
        <v>0</v>
      </c>
      <c r="M111" s="524" t="str">
        <f t="shared" si="244"/>
        <v/>
      </c>
      <c r="O111" s="541" t="s">
        <v>295</v>
      </c>
      <c r="P111" s="522">
        <f>F111*$P$18</f>
        <v>0</v>
      </c>
      <c r="Q111" s="472">
        <v>0</v>
      </c>
      <c r="R111" s="521" t="s">
        <v>281</v>
      </c>
      <c r="S111" s="522">
        <f t="shared" si="245"/>
        <v>0</v>
      </c>
      <c r="T111" s="523">
        <f t="shared" si="246"/>
        <v>0</v>
      </c>
      <c r="U111" s="524" t="str">
        <f t="shared" si="247"/>
        <v/>
      </c>
      <c r="W111" s="541" t="s">
        <v>295</v>
      </c>
      <c r="X111" s="522">
        <f>F111*$X$18</f>
        <v>0</v>
      </c>
      <c r="Y111" s="472">
        <v>0</v>
      </c>
      <c r="Z111" s="521" t="s">
        <v>281</v>
      </c>
      <c r="AA111" s="522">
        <f t="shared" si="248"/>
        <v>0</v>
      </c>
      <c r="AB111" s="523">
        <f t="shared" si="249"/>
        <v>0</v>
      </c>
      <c r="AC111" s="524" t="str">
        <f t="shared" si="250"/>
        <v/>
      </c>
      <c r="AE111" s="541" t="s">
        <v>295</v>
      </c>
      <c r="AF111" s="522">
        <f>F111*$AF$18</f>
        <v>0</v>
      </c>
      <c r="AG111" s="472">
        <v>0</v>
      </c>
      <c r="AH111" s="521" t="s">
        <v>281</v>
      </c>
      <c r="AI111" s="522">
        <f t="shared" si="251"/>
        <v>0</v>
      </c>
      <c r="AJ111" s="523">
        <f t="shared" si="252"/>
        <v>0</v>
      </c>
      <c r="AK111" s="524" t="str">
        <f t="shared" si="253"/>
        <v/>
      </c>
      <c r="AM111" s="541" t="s">
        <v>295</v>
      </c>
      <c r="AN111" s="522">
        <f>F111*$AN$18</f>
        <v>0</v>
      </c>
      <c r="AO111" s="472">
        <v>0</v>
      </c>
      <c r="AP111" s="521" t="s">
        <v>281</v>
      </c>
      <c r="AQ111" s="522">
        <f t="shared" si="254"/>
        <v>0</v>
      </c>
      <c r="AR111" s="523">
        <f t="shared" si="255"/>
        <v>0</v>
      </c>
      <c r="AS111" s="524" t="str">
        <f t="shared" si="256"/>
        <v/>
      </c>
    </row>
    <row r="112" spans="3:45" s="190" customFormat="1" x14ac:dyDescent="0.25">
      <c r="C112" s="501"/>
      <c r="D112" s="495"/>
      <c r="E112" s="506" t="s">
        <v>156</v>
      </c>
      <c r="F112" s="507">
        <f>Productenlijst!M132+Productenlijst!M135</f>
        <v>0</v>
      </c>
      <c r="G112" s="470"/>
      <c r="H112" s="518">
        <f>F112*$H$18</f>
        <v>0</v>
      </c>
      <c r="I112" s="472">
        <v>0</v>
      </c>
      <c r="J112" s="521" t="s">
        <v>281</v>
      </c>
      <c r="K112" s="522">
        <f t="shared" si="242"/>
        <v>0</v>
      </c>
      <c r="L112" s="523">
        <f t="shared" si="243"/>
        <v>0</v>
      </c>
      <c r="M112" s="524" t="str">
        <f t="shared" si="244"/>
        <v/>
      </c>
      <c r="O112" s="541" t="s">
        <v>276</v>
      </c>
      <c r="P112" s="522">
        <f>F112*$P$18</f>
        <v>0</v>
      </c>
      <c r="Q112" s="472">
        <v>0</v>
      </c>
      <c r="R112" s="521" t="s">
        <v>281</v>
      </c>
      <c r="S112" s="522">
        <f t="shared" si="245"/>
        <v>0</v>
      </c>
      <c r="T112" s="523">
        <f t="shared" si="246"/>
        <v>0</v>
      </c>
      <c r="U112" s="524" t="str">
        <f t="shared" si="247"/>
        <v/>
      </c>
      <c r="W112" s="541" t="s">
        <v>276</v>
      </c>
      <c r="X112" s="522">
        <f>F112*$X$18</f>
        <v>0</v>
      </c>
      <c r="Y112" s="472">
        <v>0</v>
      </c>
      <c r="Z112" s="521" t="s">
        <v>281</v>
      </c>
      <c r="AA112" s="522">
        <f t="shared" si="248"/>
        <v>0</v>
      </c>
      <c r="AB112" s="523">
        <f t="shared" si="249"/>
        <v>0</v>
      </c>
      <c r="AC112" s="524" t="str">
        <f t="shared" si="250"/>
        <v/>
      </c>
      <c r="AE112" s="541" t="s">
        <v>276</v>
      </c>
      <c r="AF112" s="522">
        <f>F112*$AF$18</f>
        <v>0</v>
      </c>
      <c r="AG112" s="472">
        <v>0</v>
      </c>
      <c r="AH112" s="521" t="s">
        <v>281</v>
      </c>
      <c r="AI112" s="522">
        <f t="shared" si="251"/>
        <v>0</v>
      </c>
      <c r="AJ112" s="523">
        <f t="shared" si="252"/>
        <v>0</v>
      </c>
      <c r="AK112" s="524" t="str">
        <f t="shared" si="253"/>
        <v/>
      </c>
      <c r="AM112" s="541" t="s">
        <v>276</v>
      </c>
      <c r="AN112" s="522">
        <f>F112*$AN$18</f>
        <v>0</v>
      </c>
      <c r="AO112" s="472">
        <v>0</v>
      </c>
      <c r="AP112" s="521" t="s">
        <v>281</v>
      </c>
      <c r="AQ112" s="522">
        <f t="shared" si="254"/>
        <v>0</v>
      </c>
      <c r="AR112" s="523">
        <f t="shared" si="255"/>
        <v>0</v>
      </c>
      <c r="AS112" s="524" t="str">
        <f t="shared" si="256"/>
        <v/>
      </c>
    </row>
    <row r="113" spans="3:45" s="190" customFormat="1" x14ac:dyDescent="0.25">
      <c r="C113" s="501"/>
      <c r="D113" s="495"/>
      <c r="E113" s="506" t="s">
        <v>155</v>
      </c>
      <c r="F113" s="507">
        <f>Productenlijst!M136</f>
        <v>0</v>
      </c>
      <c r="G113" s="470"/>
      <c r="H113" s="518">
        <f>F113*$H$18</f>
        <v>0</v>
      </c>
      <c r="I113" s="472">
        <v>0</v>
      </c>
      <c r="J113" s="521" t="s">
        <v>281</v>
      </c>
      <c r="K113" s="522">
        <f t="shared" ref="K113" si="257">I113*H113</f>
        <v>0</v>
      </c>
      <c r="L113" s="523">
        <f t="shared" ref="L113" si="258">H113-K113</f>
        <v>0</v>
      </c>
      <c r="M113" s="524" t="str">
        <f t="shared" ref="M113" si="259">IF(I113&gt;90%,"X","")</f>
        <v/>
      </c>
      <c r="O113" s="541" t="s">
        <v>275</v>
      </c>
      <c r="P113" s="522">
        <f>F113*$P$18</f>
        <v>0</v>
      </c>
      <c r="Q113" s="472">
        <v>0</v>
      </c>
      <c r="R113" s="521" t="s">
        <v>281</v>
      </c>
      <c r="S113" s="522">
        <f t="shared" ref="S113" si="260">Q113*P113</f>
        <v>0</v>
      </c>
      <c r="T113" s="523">
        <f t="shared" ref="T113" si="261">P113-S113</f>
        <v>0</v>
      </c>
      <c r="U113" s="524" t="str">
        <f t="shared" ref="U113" si="262">IF(Q113&gt;90%,"X","")</f>
        <v/>
      </c>
      <c r="W113" s="541" t="s">
        <v>275</v>
      </c>
      <c r="X113" s="522">
        <f>F113*$X$18</f>
        <v>0</v>
      </c>
      <c r="Y113" s="472">
        <v>0</v>
      </c>
      <c r="Z113" s="521" t="s">
        <v>281</v>
      </c>
      <c r="AA113" s="522">
        <f t="shared" ref="AA113" si="263">Y113*X113</f>
        <v>0</v>
      </c>
      <c r="AB113" s="523">
        <f t="shared" ref="AB113" si="264">X113-AA113</f>
        <v>0</v>
      </c>
      <c r="AC113" s="524" t="str">
        <f t="shared" ref="AC113" si="265">IF(Y113&gt;90%,"X","")</f>
        <v/>
      </c>
      <c r="AE113" s="541" t="s">
        <v>275</v>
      </c>
      <c r="AF113" s="522">
        <f>F113*$AF$18</f>
        <v>0</v>
      </c>
      <c r="AG113" s="472">
        <v>0</v>
      </c>
      <c r="AH113" s="521" t="s">
        <v>281</v>
      </c>
      <c r="AI113" s="522">
        <f t="shared" ref="AI113" si="266">AG113*AF113</f>
        <v>0</v>
      </c>
      <c r="AJ113" s="523">
        <f t="shared" ref="AJ113" si="267">AF113-AI113</f>
        <v>0</v>
      </c>
      <c r="AK113" s="524" t="str">
        <f t="shared" ref="AK113" si="268">IF(AG113&gt;90%,"X","")</f>
        <v/>
      </c>
      <c r="AM113" s="541" t="s">
        <v>275</v>
      </c>
      <c r="AN113" s="522">
        <f>F113*$AN$18</f>
        <v>0</v>
      </c>
      <c r="AO113" s="472">
        <v>0</v>
      </c>
      <c r="AP113" s="521" t="s">
        <v>281</v>
      </c>
      <c r="AQ113" s="522">
        <f t="shared" ref="AQ113" si="269">AO113*AN113</f>
        <v>0</v>
      </c>
      <c r="AR113" s="523">
        <f t="shared" ref="AR113" si="270">AN113-AQ113</f>
        <v>0</v>
      </c>
      <c r="AS113" s="524" t="str">
        <f t="shared" ref="AS113" si="271">IF(AO113&gt;90%,"X","")</f>
        <v/>
      </c>
    </row>
    <row r="114" spans="3:45" s="190" customFormat="1" x14ac:dyDescent="0.25">
      <c r="C114" s="501"/>
      <c r="D114" s="495"/>
      <c r="E114" s="506" t="s">
        <v>168</v>
      </c>
      <c r="F114" s="507">
        <f>Productenlijst!M137</f>
        <v>0</v>
      </c>
      <c r="G114" s="470"/>
      <c r="H114" s="518">
        <f>F114*$H$18</f>
        <v>0</v>
      </c>
      <c r="I114" s="472">
        <v>0</v>
      </c>
      <c r="J114" s="521" t="s">
        <v>281</v>
      </c>
      <c r="K114" s="522">
        <f>I114*H114</f>
        <v>0</v>
      </c>
      <c r="L114" s="523">
        <f t="shared" ref="L114" si="272">H114-K114</f>
        <v>0</v>
      </c>
      <c r="M114" s="524"/>
      <c r="O114" s="541" t="s">
        <v>282</v>
      </c>
      <c r="P114" s="522">
        <f>F114*$P$18</f>
        <v>0</v>
      </c>
      <c r="Q114" s="472">
        <v>0</v>
      </c>
      <c r="R114" s="521" t="s">
        <v>281</v>
      </c>
      <c r="S114" s="522">
        <f t="shared" ref="S114" si="273">Q114*P114</f>
        <v>0</v>
      </c>
      <c r="T114" s="523">
        <f t="shared" ref="T114" si="274">P114-S114</f>
        <v>0</v>
      </c>
      <c r="U114" s="524" t="str">
        <f t="shared" ref="U114" si="275">IF(Q114&gt;90%,"X","")</f>
        <v/>
      </c>
      <c r="W114" s="541" t="s">
        <v>282</v>
      </c>
      <c r="X114" s="522">
        <f>F114*$X$18</f>
        <v>0</v>
      </c>
      <c r="Y114" s="472">
        <v>0</v>
      </c>
      <c r="Z114" s="521" t="s">
        <v>281</v>
      </c>
      <c r="AA114" s="522">
        <f t="shared" ref="AA114" si="276">Y114*X114</f>
        <v>0</v>
      </c>
      <c r="AB114" s="523">
        <f t="shared" ref="AB114" si="277">X114-AA114</f>
        <v>0</v>
      </c>
      <c r="AC114" s="524" t="str">
        <f t="shared" ref="AC114" si="278">IF(Y114&gt;90%,"X","")</f>
        <v/>
      </c>
      <c r="AE114" s="541" t="s">
        <v>282</v>
      </c>
      <c r="AF114" s="522">
        <f>F114*$AF$18</f>
        <v>0</v>
      </c>
      <c r="AG114" s="472">
        <v>0</v>
      </c>
      <c r="AH114" s="521" t="s">
        <v>281</v>
      </c>
      <c r="AI114" s="522">
        <f t="shared" ref="AI114" si="279">AG114*AF114</f>
        <v>0</v>
      </c>
      <c r="AJ114" s="523">
        <f t="shared" ref="AJ114" si="280">AF114-AI114</f>
        <v>0</v>
      </c>
      <c r="AK114" s="524" t="str">
        <f t="shared" ref="AK114" si="281">IF(AG114&gt;90%,"X","")</f>
        <v/>
      </c>
      <c r="AM114" s="541" t="s">
        <v>282</v>
      </c>
      <c r="AN114" s="522">
        <f>F114*$AN$18</f>
        <v>0</v>
      </c>
      <c r="AO114" s="472">
        <v>0</v>
      </c>
      <c r="AP114" s="521" t="s">
        <v>281</v>
      </c>
      <c r="AQ114" s="522">
        <f t="shared" ref="AQ114" si="282">AO114*AN114</f>
        <v>0</v>
      </c>
      <c r="AR114" s="523">
        <f t="shared" ref="AR114" si="283">AN114-AQ114</f>
        <v>0</v>
      </c>
      <c r="AS114" s="524" t="str">
        <f t="shared" ref="AS114" si="284">IF(AO114&gt;90%,"X","")</f>
        <v/>
      </c>
    </row>
    <row r="115" spans="3:45" s="190" customFormat="1" x14ac:dyDescent="0.25">
      <c r="C115" s="501"/>
      <c r="D115" s="495"/>
      <c r="E115" s="495"/>
      <c r="F115" s="507"/>
      <c r="G115" s="470"/>
      <c r="H115" s="518"/>
      <c r="I115" s="495"/>
      <c r="J115" s="498"/>
      <c r="K115" s="522"/>
      <c r="L115" s="523"/>
      <c r="M115" s="496"/>
      <c r="O115" s="537"/>
      <c r="P115" s="522"/>
      <c r="Q115" s="495"/>
      <c r="R115" s="498"/>
      <c r="S115" s="522"/>
      <c r="T115" s="523"/>
      <c r="U115" s="496"/>
      <c r="W115" s="537"/>
      <c r="X115" s="522"/>
      <c r="Y115" s="495"/>
      <c r="Z115" s="498"/>
      <c r="AA115" s="522"/>
      <c r="AB115" s="523"/>
      <c r="AC115" s="496"/>
      <c r="AE115" s="537"/>
      <c r="AF115" s="522"/>
      <c r="AG115" s="495"/>
      <c r="AH115" s="498"/>
      <c r="AI115" s="522"/>
      <c r="AJ115" s="523"/>
      <c r="AK115" s="496"/>
      <c r="AM115" s="537"/>
      <c r="AN115" s="522"/>
      <c r="AO115" s="495"/>
      <c r="AP115" s="498"/>
      <c r="AQ115" s="522"/>
      <c r="AR115" s="523"/>
      <c r="AS115" s="496"/>
    </row>
    <row r="116" spans="3:45" s="190" customFormat="1" x14ac:dyDescent="0.25">
      <c r="C116" s="501"/>
      <c r="D116" s="495"/>
      <c r="E116" s="495"/>
      <c r="F116" s="507"/>
      <c r="G116" s="470"/>
      <c r="H116" s="518"/>
      <c r="I116" s="495"/>
      <c r="J116" s="498"/>
      <c r="K116" s="522"/>
      <c r="L116" s="523"/>
      <c r="M116" s="496"/>
      <c r="O116" s="537"/>
      <c r="P116" s="522"/>
      <c r="Q116" s="495"/>
      <c r="R116" s="498"/>
      <c r="S116" s="522"/>
      <c r="T116" s="523"/>
      <c r="U116" s="496"/>
      <c r="W116" s="537"/>
      <c r="X116" s="522"/>
      <c r="Y116" s="495"/>
      <c r="Z116" s="498"/>
      <c r="AA116" s="522"/>
      <c r="AB116" s="523"/>
      <c r="AC116" s="496"/>
      <c r="AE116" s="537"/>
      <c r="AF116" s="522"/>
      <c r="AG116" s="495"/>
      <c r="AH116" s="498"/>
      <c r="AI116" s="522"/>
      <c r="AJ116" s="523"/>
      <c r="AK116" s="496"/>
      <c r="AM116" s="537"/>
      <c r="AN116" s="522"/>
      <c r="AO116" s="495"/>
      <c r="AP116" s="498"/>
      <c r="AQ116" s="522"/>
      <c r="AR116" s="523"/>
      <c r="AS116" s="496"/>
    </row>
    <row r="117" spans="3:45" s="190" customFormat="1" ht="13.8" thickBot="1" x14ac:dyDescent="0.3">
      <c r="C117" s="514"/>
      <c r="D117" s="515" t="s">
        <v>296</v>
      </c>
      <c r="E117" s="516"/>
      <c r="F117" s="517">
        <f>F109+F97+F104+F91+F84+F78+F71+F65+F59+F51+F27+F47+F39+F35+F76+F21</f>
        <v>0</v>
      </c>
      <c r="G117" s="470"/>
      <c r="H117" s="520">
        <f>H109+H97+H104+H91+H84+H78+H71+H65+H59+H51+H27+H47+H39+H35+H76+H21</f>
        <v>0</v>
      </c>
      <c r="I117" s="516"/>
      <c r="J117" s="525"/>
      <c r="K117" s="526">
        <f>K109+K97+K104+K91+K84+K78+K71+K65+K59+K51+K27+K47+K39+K35+K76+K21</f>
        <v>0</v>
      </c>
      <c r="L117" s="527">
        <f>L109+L97+L104+L91+L84+L78+L71+L65+L59+L51+L27+L47+L39+L35+L76+L21</f>
        <v>0</v>
      </c>
      <c r="M117" s="528"/>
      <c r="O117" s="543"/>
      <c r="P117" s="526">
        <f>P109+P97+P104+P91+P84+P78+P71+P65+P59+P51+P27+P47+P39+P35+P76+P21</f>
        <v>0</v>
      </c>
      <c r="Q117" s="516"/>
      <c r="R117" s="525"/>
      <c r="S117" s="526">
        <f>S109+S97+S104+S91+S84+S78+S71+S65+S59+S51+S27+S47+S39+S35+S76+S21</f>
        <v>0</v>
      </c>
      <c r="T117" s="527">
        <f>T109+T97+T104+T91+T84+T78+T71+T65+T59+T51+T27+T47+T39+T35+T76+T21</f>
        <v>0</v>
      </c>
      <c r="U117" s="528"/>
      <c r="W117" s="543"/>
      <c r="X117" s="526">
        <f>X109+X97+X104+X91+X84+X78+X71+X65+X59+X51+X27+X47+X39+X35+X76+X21</f>
        <v>0</v>
      </c>
      <c r="Y117" s="516"/>
      <c r="Z117" s="525"/>
      <c r="AA117" s="526">
        <f>AA109+AA97+AA104+AA91+AA84+AA78+AA71+AA65+AA59+AA51+AA27+AA47+AA39+AA35+AA76+AA21</f>
        <v>0</v>
      </c>
      <c r="AB117" s="527">
        <f>AB109+AB97+AB104+AB91+AB84+AB78+AB71+AB65+AB59+AB51+AB27+AB47+AB39+AB35+AB76+AB21</f>
        <v>0</v>
      </c>
      <c r="AC117" s="528"/>
      <c r="AE117" s="543"/>
      <c r="AF117" s="526">
        <f>AF109+AF97+AF104+AF91+AF84+AF78+AF71+AF65+AF59+AF51+AF27+AF47+AF39+AF35+AF76+AF21</f>
        <v>0</v>
      </c>
      <c r="AG117" s="516"/>
      <c r="AH117" s="525"/>
      <c r="AI117" s="526">
        <f>AI109+AI97+AI104+AI91+AI84+AI78+AI71+AI65+AI59+AI51+AI27+AI47+AI39+AI35+AI76+AI21</f>
        <v>0</v>
      </c>
      <c r="AJ117" s="527">
        <f>AJ109+AJ97+AJ104+AJ91+AJ84+AJ78+AJ71+AJ65+AJ59+AJ51+AJ27+AJ47+AJ39+AJ35+AJ76+AJ21</f>
        <v>0</v>
      </c>
      <c r="AK117" s="528"/>
      <c r="AM117" s="543"/>
      <c r="AN117" s="526">
        <f>AN109+AN97+AN104+AN91+AN84+AN78+AN71+AN65+AN59+AN51+AN27+AN47+AN39+AN35+AN76+AN21</f>
        <v>0</v>
      </c>
      <c r="AO117" s="516"/>
      <c r="AP117" s="525"/>
      <c r="AQ117" s="526">
        <f>AQ109+AQ97+AQ104+AQ91+AQ84+AQ78+AQ71+AQ65+AQ59+AQ51+AQ27+AQ47+AQ39+AQ35+AQ76+AQ21</f>
        <v>0</v>
      </c>
      <c r="AR117" s="527">
        <f>AR109+AR97+AR104+AR91+AR84+AR78+AR71+AR65+AR59+AR51+AR27+AR47+AR39+AR35+AR76+AR21</f>
        <v>0</v>
      </c>
      <c r="AS117" s="528"/>
    </row>
    <row r="118" spans="3:45" s="190" customFormat="1" x14ac:dyDescent="0.25"/>
    <row r="119" spans="3:45" s="190" customFormat="1" x14ac:dyDescent="0.25"/>
    <row r="120" spans="3:45" s="190" customFormat="1" x14ac:dyDescent="0.25"/>
    <row r="121" spans="3:45" s="190" customFormat="1" x14ac:dyDescent="0.25"/>
    <row r="122" spans="3:45" s="190" customFormat="1" x14ac:dyDescent="0.25"/>
    <row r="123" spans="3:45" s="190" customFormat="1" x14ac:dyDescent="0.25"/>
    <row r="124" spans="3:45" s="190" customFormat="1" x14ac:dyDescent="0.25"/>
    <row r="125" spans="3:45" s="190" customFormat="1" x14ac:dyDescent="0.25"/>
    <row r="126" spans="3:45" s="190" customFormat="1" x14ac:dyDescent="0.25"/>
    <row r="127" spans="3:45" s="190" customFormat="1" x14ac:dyDescent="0.25"/>
    <row r="128" spans="3:45" s="190" customFormat="1" x14ac:dyDescent="0.25"/>
    <row r="129" s="190" customFormat="1" x14ac:dyDescent="0.25"/>
    <row r="130" s="190" customFormat="1" x14ac:dyDescent="0.25"/>
    <row r="131" s="190" customFormat="1" x14ac:dyDescent="0.25"/>
  </sheetData>
  <sheetProtection algorithmName="SHA-512" hashValue="hwuGxWcmrjVaTE86wpeashkgVAGrPQdeqTKkUw9drFD6KZsTs3KlvkOWyzQ7g5biORSzXnJzkscTuzOxTzMNbw==" saltValue="mjiQrDuHiaKKy9zRGSzLeQ==" spinCount="100000" sheet="1" objects="1" scenarios="1"/>
  <printOptions horizontalCentered="1" verticalCentered="1"/>
  <pageMargins left="0" right="0" top="0" bottom="0" header="0.31496062992125984" footer="0.31496062992125984"/>
  <pageSetup paperSize="9" scale="30" orientation="landscape" r:id="rId1"/>
  <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F3F601-9190-42F0-A76F-541585EDD50F}">
  <dimension ref="A1:M84"/>
  <sheetViews>
    <sheetView showGridLines="0" zoomScaleNormal="100" workbookViewId="0">
      <selection activeCell="B6" sqref="B6"/>
    </sheetView>
  </sheetViews>
  <sheetFormatPr defaultRowHeight="14.4" x14ac:dyDescent="0.3"/>
  <cols>
    <col min="1" max="1" width="2.5546875" style="256" customWidth="1"/>
    <col min="2" max="2" width="10.77734375" style="268" customWidth="1"/>
    <col min="3" max="3" width="32.77734375" style="268" customWidth="1"/>
    <col min="4" max="4" width="11.44140625" style="268" bestFit="1" customWidth="1"/>
    <col min="5" max="5" width="8.21875" style="268" customWidth="1"/>
    <col min="6" max="6" width="12.77734375" style="268" customWidth="1"/>
    <col min="7" max="7" width="13" style="268" customWidth="1"/>
    <col min="8" max="8" width="17.44140625" style="268" customWidth="1"/>
    <col min="9" max="9" width="14.5546875" style="268" customWidth="1"/>
    <col min="10" max="10" width="2.5546875" style="268" customWidth="1"/>
    <col min="11" max="12" width="16.44140625" style="268" customWidth="1"/>
    <col min="13" max="13" width="13.21875" style="268" customWidth="1"/>
    <col min="15" max="15" width="40.77734375" bestFit="1" customWidth="1"/>
    <col min="16" max="16" width="15.5546875" bestFit="1" customWidth="1"/>
  </cols>
  <sheetData>
    <row r="1" spans="2:13" ht="15" thickBot="1" x14ac:dyDescent="0.35"/>
    <row r="2" spans="2:13" ht="16.2" x14ac:dyDescent="0.3">
      <c r="B2" s="249" t="str">
        <f>Vragenlijst!B2</f>
        <v>Plankostenregels bij kostenverhaal Met tijdvak</v>
      </c>
      <c r="C2" s="250"/>
      <c r="D2" s="250"/>
      <c r="E2" s="250"/>
      <c r="F2" s="250"/>
      <c r="G2" s="250"/>
      <c r="H2" s="250"/>
      <c r="I2" s="250"/>
      <c r="J2" s="250"/>
      <c r="K2" s="250"/>
      <c r="L2" s="250"/>
      <c r="M2" s="251"/>
    </row>
    <row r="3" spans="2:13" ht="16.2" x14ac:dyDescent="0.3">
      <c r="B3" s="252"/>
      <c r="C3" s="244"/>
      <c r="D3" s="244"/>
      <c r="E3" s="244"/>
      <c r="F3" s="244"/>
      <c r="G3" s="244"/>
      <c r="H3" s="244"/>
      <c r="I3" s="244"/>
      <c r="J3" s="244"/>
      <c r="K3" s="244"/>
      <c r="L3" s="244"/>
      <c r="M3" s="245"/>
    </row>
    <row r="4" spans="2:13" ht="16.8" thickBot="1" x14ac:dyDescent="0.35">
      <c r="B4" s="253" t="s">
        <v>297</v>
      </c>
      <c r="C4" s="254"/>
      <c r="D4" s="254"/>
      <c r="E4" s="254"/>
      <c r="F4" s="254"/>
      <c r="G4" s="254"/>
      <c r="H4" s="254"/>
      <c r="I4" s="254"/>
      <c r="J4" s="254"/>
      <c r="K4" s="254"/>
      <c r="L4" s="254"/>
      <c r="M4" s="255"/>
    </row>
    <row r="5" spans="2:13" ht="15" thickBot="1" x14ac:dyDescent="0.35">
      <c r="B5" s="269"/>
    </row>
    <row r="6" spans="2:13" ht="15" thickBot="1" x14ac:dyDescent="0.35">
      <c r="B6" s="267" t="s">
        <v>298</v>
      </c>
      <c r="C6" s="264"/>
      <c r="D6" s="264"/>
      <c r="E6" s="264"/>
      <c r="F6" s="264" t="s">
        <v>139</v>
      </c>
      <c r="G6" s="264" t="s">
        <v>299</v>
      </c>
      <c r="H6" s="264" t="s">
        <v>300</v>
      </c>
      <c r="I6" s="264"/>
      <c r="J6" s="266"/>
      <c r="K6" s="264" t="s">
        <v>301</v>
      </c>
      <c r="L6" s="264" t="s">
        <v>142</v>
      </c>
      <c r="M6" s="265"/>
    </row>
    <row r="7" spans="2:13" x14ac:dyDescent="0.3">
      <c r="B7" s="272"/>
      <c r="C7" s="340"/>
      <c r="D7" s="273"/>
      <c r="E7" s="273"/>
      <c r="F7" s="352"/>
      <c r="G7" s="340"/>
      <c r="H7" s="273"/>
      <c r="I7" s="273"/>
      <c r="J7" s="273"/>
      <c r="K7" s="273"/>
      <c r="L7" s="273"/>
      <c r="M7" s="274"/>
    </row>
    <row r="8" spans="2:13" x14ac:dyDescent="0.3">
      <c r="B8" s="321" t="s">
        <v>302</v>
      </c>
      <c r="C8" s="340"/>
      <c r="F8" s="352"/>
      <c r="G8" s="340"/>
      <c r="H8" s="356">
        <f>Vragenlijst!E103</f>
        <v>0</v>
      </c>
      <c r="I8" s="273"/>
      <c r="J8" s="273"/>
      <c r="K8" s="273"/>
      <c r="L8" s="273"/>
      <c r="M8" s="274"/>
    </row>
    <row r="9" spans="2:13" x14ac:dyDescent="0.3">
      <c r="B9" s="272"/>
      <c r="C9" s="340"/>
      <c r="D9" s="273"/>
      <c r="E9" s="273"/>
      <c r="F9" s="352"/>
      <c r="G9" s="340"/>
      <c r="H9" s="273"/>
      <c r="I9" s="273"/>
      <c r="J9" s="273"/>
      <c r="K9" s="273"/>
      <c r="L9" s="273"/>
      <c r="M9" s="274"/>
    </row>
    <row r="10" spans="2:13" x14ac:dyDescent="0.3">
      <c r="B10" s="272" t="s">
        <v>303</v>
      </c>
      <c r="C10" s="273"/>
      <c r="D10" s="273"/>
      <c r="E10" s="273"/>
      <c r="F10" s="273"/>
      <c r="G10" s="273"/>
      <c r="H10" s="273"/>
      <c r="I10" s="273"/>
      <c r="J10" s="273"/>
      <c r="K10" s="344">
        <f>SUM(K11)</f>
        <v>0</v>
      </c>
      <c r="L10" s="353">
        <f>SUM(L11)</f>
        <v>0</v>
      </c>
      <c r="M10" s="274"/>
    </row>
    <row r="11" spans="2:13" x14ac:dyDescent="0.3">
      <c r="B11" s="271"/>
      <c r="C11" s="275" t="s">
        <v>304</v>
      </c>
      <c r="F11" s="257">
        <f>Uurtarieven!F4</f>
        <v>126</v>
      </c>
      <c r="G11" s="258">
        <v>12</v>
      </c>
      <c r="K11" s="318">
        <f>(+G11*H8*F11)*IF(Vragenlijst!E96="Ja",1,0)</f>
        <v>0</v>
      </c>
      <c r="L11" s="354">
        <f>(+G11*H8)*IF(Vragenlijst!E96="Ja",1,0)</f>
        <v>0</v>
      </c>
      <c r="M11" s="270"/>
    </row>
    <row r="12" spans="2:13" x14ac:dyDescent="0.3">
      <c r="B12" s="271"/>
      <c r="F12" s="157"/>
      <c r="G12" s="279"/>
      <c r="K12" s="275"/>
      <c r="L12" s="275"/>
      <c r="M12" s="270"/>
    </row>
    <row r="13" spans="2:13" x14ac:dyDescent="0.3">
      <c r="B13" s="280" t="s">
        <v>305</v>
      </c>
      <c r="F13" s="260"/>
      <c r="G13" s="279"/>
      <c r="K13" s="344">
        <f>SUM(K16:K17)</f>
        <v>0</v>
      </c>
      <c r="L13" s="353">
        <f>SUM(L16:L17)</f>
        <v>0</v>
      </c>
      <c r="M13" s="270"/>
    </row>
    <row r="14" spans="2:13" x14ac:dyDescent="0.3">
      <c r="B14" s="280"/>
      <c r="C14" s="275" t="s">
        <v>306</v>
      </c>
      <c r="F14" s="260"/>
      <c r="G14" s="261">
        <v>8</v>
      </c>
      <c r="K14" s="275"/>
      <c r="L14" s="275"/>
      <c r="M14" s="270"/>
    </row>
    <row r="15" spans="2:13" x14ac:dyDescent="0.3">
      <c r="B15" s="280"/>
      <c r="C15" s="275" t="s">
        <v>307</v>
      </c>
      <c r="F15" s="260"/>
      <c r="G15" s="261">
        <f>Vragenlijst!E98/300*G14</f>
        <v>0</v>
      </c>
      <c r="M15" s="270"/>
    </row>
    <row r="16" spans="2:13" x14ac:dyDescent="0.3">
      <c r="B16" s="280"/>
      <c r="C16" s="275" t="s">
        <v>308</v>
      </c>
      <c r="F16" s="257">
        <f>Uurtarieven!F7</f>
        <v>140</v>
      </c>
      <c r="G16" s="258">
        <f>1</f>
        <v>1</v>
      </c>
      <c r="K16" s="318">
        <f>((G15/40)*(H18*H19)*F16*G16)*IF(Vragenlijst!E96="Ja",1,0)</f>
        <v>0</v>
      </c>
      <c r="L16" s="354">
        <f>((G15/40)*(H18*H19)*G16)*IF(Vragenlijst!E96="Ja",1,0)</f>
        <v>0</v>
      </c>
      <c r="M16" s="270"/>
    </row>
    <row r="17" spans="2:13" x14ac:dyDescent="0.3">
      <c r="B17" s="280"/>
      <c r="C17" s="275" t="s">
        <v>309</v>
      </c>
      <c r="F17" s="257">
        <f>Uurtarieven!F8</f>
        <v>113</v>
      </c>
      <c r="G17" s="258">
        <f>4*1</f>
        <v>4</v>
      </c>
      <c r="K17" s="318">
        <f>((G15/40)*(H18*H19)*F17*G17)*IF(Vragenlijst!E96="Ja",1,0)</f>
        <v>0</v>
      </c>
      <c r="L17" s="354">
        <f>((G15/40)*(H18*H19)*G17)*IF(Vragenlijst!E96="Ja",1,0)</f>
        <v>0</v>
      </c>
      <c r="M17" s="270"/>
    </row>
    <row r="18" spans="2:13" x14ac:dyDescent="0.3">
      <c r="B18" s="280"/>
      <c r="C18" s="277" t="s">
        <v>310</v>
      </c>
      <c r="F18" s="260"/>
      <c r="G18" s="258"/>
      <c r="H18" s="259">
        <f>1+(AVERAGE(-1*Vragenlijst!E100,0*Vragenlijst!E101)/100)</f>
        <v>1</v>
      </c>
      <c r="M18" s="270"/>
    </row>
    <row r="19" spans="2:13" x14ac:dyDescent="0.3">
      <c r="B19" s="280"/>
      <c r="C19" s="277" t="s">
        <v>311</v>
      </c>
      <c r="F19" s="260"/>
      <c r="G19" s="258"/>
      <c r="H19" s="259">
        <f>1+(Vragenlijst!E106/100)</f>
        <v>1</v>
      </c>
      <c r="M19" s="270"/>
    </row>
    <row r="20" spans="2:13" x14ac:dyDescent="0.3">
      <c r="B20" s="280"/>
      <c r="F20" s="260"/>
      <c r="G20" s="279"/>
      <c r="M20" s="270"/>
    </row>
    <row r="21" spans="2:13" x14ac:dyDescent="0.3">
      <c r="B21" s="280" t="s">
        <v>312</v>
      </c>
      <c r="F21" s="260"/>
      <c r="G21" s="275"/>
      <c r="K21" s="344">
        <f>SUM(K22:K26)</f>
        <v>0</v>
      </c>
      <c r="L21" s="353">
        <f>SUM(L22:L26)</f>
        <v>0</v>
      </c>
      <c r="M21" s="270"/>
    </row>
    <row r="22" spans="2:13" x14ac:dyDescent="0.3">
      <c r="B22" s="283"/>
      <c r="C22" s="277" t="s">
        <v>313</v>
      </c>
      <c r="F22" s="257">
        <f>Uurtarieven!C6</f>
        <v>160</v>
      </c>
      <c r="G22" s="262">
        <f>0.25*1</f>
        <v>0.25</v>
      </c>
      <c r="I22" s="277"/>
      <c r="K22" s="318">
        <f>((G22*(G15/40))*F22*(H23*H24))*IF(Vragenlijst!E96="Ja",1,0)</f>
        <v>0</v>
      </c>
      <c r="L22" s="354">
        <f>((G22*(G15/40))*(H23*H24))*IF(Vragenlijst!E96="Ja",1,0)</f>
        <v>0</v>
      </c>
      <c r="M22" s="270"/>
    </row>
    <row r="23" spans="2:13" x14ac:dyDescent="0.3">
      <c r="B23" s="271"/>
      <c r="C23" s="275" t="s">
        <v>314</v>
      </c>
      <c r="H23" s="259">
        <f>H18</f>
        <v>1</v>
      </c>
      <c r="I23" s="275"/>
      <c r="K23" s="355"/>
      <c r="L23" s="354"/>
      <c r="M23" s="270"/>
    </row>
    <row r="24" spans="2:13" x14ac:dyDescent="0.3">
      <c r="B24" s="271"/>
      <c r="C24" s="275" t="s">
        <v>315</v>
      </c>
      <c r="H24" s="259">
        <f>1+(Vragenlijst!E106/100)</f>
        <v>1</v>
      </c>
      <c r="I24" s="277"/>
      <c r="L24" s="354"/>
      <c r="M24" s="270"/>
    </row>
    <row r="25" spans="2:13" x14ac:dyDescent="0.3">
      <c r="B25" s="271"/>
      <c r="C25" s="277" t="s">
        <v>316</v>
      </c>
      <c r="F25" s="257">
        <f>Uurtarieven!C6</f>
        <v>160</v>
      </c>
      <c r="G25" s="258">
        <v>4</v>
      </c>
      <c r="I25" s="277"/>
      <c r="K25" s="318">
        <f>((H26*H24)*(G25*F25)*H8)*IF(Vragenlijst!E96="Ja",1,0)</f>
        <v>0</v>
      </c>
      <c r="L25" s="354">
        <f>((H26*H24)*(G25)*H8)*IF(Vragenlijst!E96="Ja",1,0)</f>
        <v>0</v>
      </c>
      <c r="M25" s="270"/>
    </row>
    <row r="26" spans="2:13" x14ac:dyDescent="0.3">
      <c r="B26" s="271"/>
      <c r="C26" s="275" t="s">
        <v>317</v>
      </c>
      <c r="H26" s="259">
        <f>1+IF(Vragenlijst!E96="Ja",(AVERAGE(0%*Vragenlijst!E109,25%*Vragenlijst!E110,100%*Vragenlijst!E111)/100),0)</f>
        <v>1</v>
      </c>
      <c r="I26" s="277"/>
      <c r="L26" s="394"/>
      <c r="M26" s="270"/>
    </row>
    <row r="27" spans="2:13" ht="15" thickBot="1" x14ac:dyDescent="0.35">
      <c r="B27" s="271"/>
      <c r="F27" s="278"/>
      <c r="L27" s="394"/>
      <c r="M27" s="270"/>
    </row>
    <row r="28" spans="2:13" ht="15" thickBot="1" x14ac:dyDescent="0.35">
      <c r="B28" s="263" t="s">
        <v>318</v>
      </c>
      <c r="C28" s="264"/>
      <c r="D28" s="264"/>
      <c r="E28" s="264"/>
      <c r="F28" s="264"/>
      <c r="G28" s="264"/>
      <c r="H28" s="264"/>
      <c r="I28" s="264"/>
      <c r="J28" s="266"/>
      <c r="K28" s="319">
        <f>SUM(K10,K13,K21)</f>
        <v>0</v>
      </c>
      <c r="L28" s="320">
        <f>SUM(L10,L13,L21)</f>
        <v>0</v>
      </c>
      <c r="M28" s="265"/>
    </row>
    <row r="29" spans="2:13" ht="15" thickBot="1" x14ac:dyDescent="0.35">
      <c r="G29" s="281"/>
    </row>
    <row r="30" spans="2:13" ht="15" thickBot="1" x14ac:dyDescent="0.35">
      <c r="B30" s="267" t="s">
        <v>319</v>
      </c>
      <c r="C30" s="264"/>
      <c r="D30" s="264"/>
      <c r="E30" s="264"/>
      <c r="F30" s="264"/>
      <c r="G30" s="264"/>
      <c r="H30" s="264"/>
      <c r="I30" s="264"/>
      <c r="J30" s="266"/>
      <c r="K30" s="264"/>
      <c r="L30" s="264"/>
      <c r="M30" s="265"/>
    </row>
    <row r="31" spans="2:13" ht="15" thickBot="1" x14ac:dyDescent="0.35">
      <c r="B31" s="271"/>
      <c r="M31" s="270"/>
    </row>
    <row r="32" spans="2:13" ht="15" thickBot="1" x14ac:dyDescent="0.35">
      <c r="B32" s="263" t="s">
        <v>320</v>
      </c>
      <c r="C32" s="264"/>
      <c r="D32" s="264"/>
      <c r="E32" s="264"/>
      <c r="F32" s="264"/>
      <c r="G32" s="264"/>
      <c r="H32" s="264"/>
      <c r="I32" s="264"/>
      <c r="J32" s="266"/>
      <c r="K32" s="264"/>
      <c r="L32" s="264"/>
      <c r="M32" s="265"/>
    </row>
    <row r="33" spans="2:13" x14ac:dyDescent="0.3">
      <c r="B33" s="272"/>
      <c r="C33" s="336"/>
      <c r="F33" s="337"/>
      <c r="G33" s="288"/>
      <c r="I33" s="286"/>
      <c r="M33" s="270"/>
    </row>
    <row r="34" spans="2:13" ht="15" thickBot="1" x14ac:dyDescent="0.35">
      <c r="B34" s="272"/>
      <c r="C34" s="336" t="s">
        <v>321</v>
      </c>
      <c r="F34" s="338">
        <f>Vragenlijst!E24/10000</f>
        <v>0</v>
      </c>
      <c r="G34" s="285" t="s">
        <v>322</v>
      </c>
      <c r="M34" s="270"/>
    </row>
    <row r="35" spans="2:13" ht="15" thickBot="1" x14ac:dyDescent="0.35">
      <c r="B35" s="272"/>
      <c r="C35" s="336" t="s">
        <v>323</v>
      </c>
      <c r="D35" s="273"/>
      <c r="E35" s="273"/>
      <c r="F35" s="672">
        <f>IF(Vragenlijst!E13='Drop Down '!B2,'Staffels &amp; Tabellen'!D9,'Staffels &amp; Tabellen'!H9)</f>
        <v>0.25</v>
      </c>
      <c r="G35" s="339"/>
      <c r="H35" s="71" t="s">
        <v>149</v>
      </c>
      <c r="I35" s="273"/>
      <c r="K35" s="459"/>
      <c r="M35" s="270"/>
    </row>
    <row r="36" spans="2:13" ht="15" thickBot="1" x14ac:dyDescent="0.35">
      <c r="B36" s="272"/>
      <c r="C36" s="336" t="s">
        <v>324</v>
      </c>
      <c r="D36" s="273"/>
      <c r="E36" s="273"/>
      <c r="F36" s="689">
        <f>+F35*'Staffels &amp; Tabellen'!F37</f>
        <v>0.2</v>
      </c>
      <c r="G36" s="340"/>
      <c r="H36" s="71" t="s">
        <v>325</v>
      </c>
      <c r="I36" s="273"/>
      <c r="K36" s="459"/>
      <c r="M36" s="270"/>
    </row>
    <row r="37" spans="2:13" x14ac:dyDescent="0.3">
      <c r="B37" s="272"/>
      <c r="C37" s="336" t="s">
        <v>326</v>
      </c>
      <c r="D37" s="273"/>
      <c r="E37" s="273"/>
      <c r="F37" s="341" t="str">
        <f>IF(Vragenlijst!E27="[Selecteer type]","Vul vragenlijst in",Vragenlijst!E27)</f>
        <v>Vul vragenlijst in</v>
      </c>
      <c r="G37" s="340"/>
      <c r="K37" s="459"/>
      <c r="M37" s="270"/>
    </row>
    <row r="38" spans="2:13" x14ac:dyDescent="0.3">
      <c r="B38" s="272"/>
      <c r="C38" s="336" t="s">
        <v>327</v>
      </c>
      <c r="D38" s="342"/>
      <c r="E38" s="342"/>
      <c r="F38" s="672">
        <f>IF(OR(Vragenlijst!E34='Drop Down '!B29,Vragenlijst!E34='Drop Down '!B30,Vragenlijst!E34='Drop Down '!B31,Vragenlijst!E34='Drop Down '!B32),2*F36,IF(F37="uitleglocatie",2*F36,IF(F37="uitbreidingslocatie",2*F36,1.5*F36)))</f>
        <v>0.30000000000000004</v>
      </c>
      <c r="G38" s="340"/>
      <c r="M38" s="270"/>
    </row>
    <row r="39" spans="2:13" x14ac:dyDescent="0.3">
      <c r="B39" s="322"/>
      <c r="C39" s="289"/>
      <c r="D39" s="290"/>
      <c r="E39" s="290"/>
      <c r="F39" s="291"/>
      <c r="G39" s="292"/>
      <c r="H39" s="290"/>
      <c r="I39" s="290"/>
      <c r="J39" s="290"/>
      <c r="K39" s="290"/>
      <c r="L39" s="290"/>
      <c r="M39" s="299"/>
    </row>
    <row r="40" spans="2:13" ht="15" thickBot="1" x14ac:dyDescent="0.35">
      <c r="B40" s="271"/>
      <c r="F40" s="343"/>
      <c r="M40" s="270"/>
    </row>
    <row r="41" spans="2:13" ht="15" thickBot="1" x14ac:dyDescent="0.35">
      <c r="B41" s="263" t="s">
        <v>328</v>
      </c>
      <c r="C41" s="264"/>
      <c r="D41" s="264"/>
      <c r="E41" s="264"/>
      <c r="F41" s="264" t="s">
        <v>139</v>
      </c>
      <c r="G41" s="264" t="s">
        <v>299</v>
      </c>
      <c r="H41" s="264" t="s">
        <v>300</v>
      </c>
      <c r="I41" s="264"/>
      <c r="J41" s="266"/>
      <c r="K41" s="264" t="s">
        <v>301</v>
      </c>
      <c r="L41" s="264" t="s">
        <v>142</v>
      </c>
      <c r="M41" s="265"/>
    </row>
    <row r="42" spans="2:13" x14ac:dyDescent="0.3">
      <c r="B42" s="272"/>
      <c r="C42" s="273"/>
      <c r="D42" s="273"/>
      <c r="E42" s="273"/>
      <c r="F42" s="273"/>
      <c r="G42" s="273"/>
      <c r="H42" s="273"/>
      <c r="I42" s="273"/>
      <c r="J42" s="273"/>
      <c r="K42" s="273"/>
      <c r="L42" s="273"/>
      <c r="M42" s="274"/>
    </row>
    <row r="43" spans="2:13" x14ac:dyDescent="0.3">
      <c r="B43" s="272" t="s">
        <v>329</v>
      </c>
      <c r="C43" s="273"/>
      <c r="D43" s="273"/>
      <c r="E43" s="273"/>
      <c r="F43" s="273"/>
      <c r="G43" s="273"/>
      <c r="H43" s="273"/>
      <c r="I43" s="273"/>
      <c r="J43" s="273"/>
      <c r="K43" s="344">
        <f>SUM(K44:K46)</f>
        <v>0</v>
      </c>
      <c r="L43" s="345">
        <f>SUM(L44:L46)</f>
        <v>0</v>
      </c>
      <c r="M43" s="274"/>
    </row>
    <row r="44" spans="2:13" x14ac:dyDescent="0.3">
      <c r="B44" s="272"/>
      <c r="C44" s="340" t="s">
        <v>330</v>
      </c>
      <c r="D44" s="273"/>
      <c r="E44" s="273"/>
      <c r="F44" s="257">
        <f>Uurtarieven!F5</f>
        <v>160</v>
      </c>
      <c r="G44" s="346">
        <v>200</v>
      </c>
      <c r="H44" s="340"/>
      <c r="I44" s="273"/>
      <c r="J44" s="347"/>
      <c r="K44" s="318">
        <f>((G44*F35)*F44)*IF(Vragenlijst!E124="Ja",1,0)</f>
        <v>0</v>
      </c>
      <c r="L44" s="348">
        <f>(G44*F35)*IF(Vragenlijst!E124="Ja",1,0)</f>
        <v>0</v>
      </c>
      <c r="M44" s="274"/>
    </row>
    <row r="45" spans="2:13" x14ac:dyDescent="0.3">
      <c r="B45" s="272"/>
      <c r="C45" s="340" t="s">
        <v>331</v>
      </c>
      <c r="D45" s="273"/>
      <c r="E45" s="273"/>
      <c r="F45" s="257">
        <f>Uurtarieven!F5</f>
        <v>160</v>
      </c>
      <c r="G45" s="284">
        <v>7.5</v>
      </c>
      <c r="H45" s="340"/>
      <c r="I45" s="347"/>
      <c r="J45" s="273"/>
      <c r="K45" s="318">
        <f>((G45*F34)*F45)*IF(Vragenlijst!E124="Ja",1,0)</f>
        <v>0</v>
      </c>
      <c r="L45" s="348">
        <f>(G45*F34)*IF(Vragenlijst!E124="Ja",1,0)</f>
        <v>0</v>
      </c>
      <c r="M45" s="274"/>
    </row>
    <row r="46" spans="2:13" x14ac:dyDescent="0.3">
      <c r="B46" s="272"/>
      <c r="C46" s="273"/>
      <c r="D46" s="273"/>
      <c r="E46" s="273"/>
      <c r="F46" s="257"/>
      <c r="G46" s="273"/>
      <c r="H46" s="273"/>
      <c r="I46" s="273"/>
      <c r="J46" s="273"/>
      <c r="K46" s="273"/>
      <c r="L46" s="348"/>
      <c r="M46" s="274"/>
    </row>
    <row r="47" spans="2:13" x14ac:dyDescent="0.3">
      <c r="B47" s="272" t="s">
        <v>332</v>
      </c>
      <c r="C47" s="273"/>
      <c r="D47" s="273"/>
      <c r="E47" s="273"/>
      <c r="F47" s="257"/>
      <c r="G47" s="273"/>
      <c r="H47" s="273"/>
      <c r="I47" s="273"/>
      <c r="J47" s="273"/>
      <c r="K47" s="344">
        <f>SUM(K48:K49)</f>
        <v>0</v>
      </c>
      <c r="L47" s="345">
        <f>SUM(L48:L49)</f>
        <v>0</v>
      </c>
      <c r="M47" s="274"/>
    </row>
    <row r="48" spans="2:13" x14ac:dyDescent="0.3">
      <c r="B48" s="271"/>
      <c r="C48" s="275" t="s">
        <v>333</v>
      </c>
      <c r="F48" s="257">
        <f>Uurtarieven!F4</f>
        <v>126</v>
      </c>
      <c r="G48" s="312">
        <v>100</v>
      </c>
      <c r="K48" s="318">
        <f>((G48*F38)*H50*F48)*IF(Vragenlijst!E124="Ja",1,0)</f>
        <v>0</v>
      </c>
      <c r="L48" s="348">
        <f>((G48*F38)*H50)*IF(Vragenlijst!E124="Ja",1,0)</f>
        <v>0</v>
      </c>
      <c r="M48" s="270"/>
    </row>
    <row r="49" spans="2:13" x14ac:dyDescent="0.3">
      <c r="B49" s="271"/>
      <c r="C49" s="275" t="s">
        <v>334</v>
      </c>
      <c r="F49" s="257">
        <f>Uurtarieven!F6</f>
        <v>113</v>
      </c>
      <c r="G49" s="312">
        <v>80</v>
      </c>
      <c r="K49" s="318">
        <f>((G49*F38)*H50*F49)*IF(Vragenlijst!E124="Ja",1,0)</f>
        <v>0</v>
      </c>
      <c r="L49" s="348">
        <f>((G49*F38)*H50)*IF(Vragenlijst!E124="Ja",1,0)</f>
        <v>0</v>
      </c>
      <c r="M49" s="270"/>
    </row>
    <row r="50" spans="2:13" x14ac:dyDescent="0.3">
      <c r="B50" s="271"/>
      <c r="C50" s="275" t="s">
        <v>335</v>
      </c>
      <c r="G50" s="277"/>
      <c r="H50" s="294">
        <f>1+IF(Vragenlijst!E124="Ja",(AVERAGE(0%*Vragenlijst!E127,25%*Vragenlijst!E128,100%*Vragenlijst!E129)/100),0)</f>
        <v>1</v>
      </c>
      <c r="L50" s="348"/>
      <c r="M50" s="270"/>
    </row>
    <row r="51" spans="2:13" x14ac:dyDescent="0.3">
      <c r="B51" s="271"/>
      <c r="F51" s="275"/>
      <c r="G51" s="279"/>
      <c r="L51" s="349"/>
      <c r="M51" s="270"/>
    </row>
    <row r="52" spans="2:13" x14ac:dyDescent="0.3">
      <c r="B52" s="280" t="s">
        <v>305</v>
      </c>
      <c r="F52" s="281"/>
      <c r="G52" s="279"/>
      <c r="K52" s="344">
        <f>SUM(K53:K55)</f>
        <v>0</v>
      </c>
      <c r="L52" s="345">
        <f>SUM(L53:L55)</f>
        <v>0</v>
      </c>
      <c r="M52" s="270"/>
    </row>
    <row r="53" spans="2:13" x14ac:dyDescent="0.3">
      <c r="B53" s="280"/>
      <c r="C53" s="275" t="s">
        <v>336</v>
      </c>
      <c r="F53" s="257">
        <f>Uurtarieven!F7</f>
        <v>140</v>
      </c>
      <c r="G53" s="312">
        <v>8</v>
      </c>
      <c r="K53" s="318">
        <f>(F57*4*G53*F53)*IF(Vragenlijst!E124="Ja",1,0)</f>
        <v>0</v>
      </c>
      <c r="L53" s="348">
        <f>(F57*4*G53)*IF(Vragenlijst!E124="Ja",1,0)</f>
        <v>0</v>
      </c>
      <c r="M53" s="270"/>
    </row>
    <row r="54" spans="2:13" x14ac:dyDescent="0.3">
      <c r="B54" s="280"/>
      <c r="C54" s="277" t="s">
        <v>337</v>
      </c>
      <c r="F54" s="257">
        <f>Uurtarieven!F8</f>
        <v>113</v>
      </c>
      <c r="G54" s="276">
        <v>10</v>
      </c>
      <c r="K54" s="318">
        <f>(F57*4*G54*F54)*IF(Vragenlijst!E124="Ja",1,0)</f>
        <v>0</v>
      </c>
      <c r="L54" s="348">
        <f>(F57*4*G54)*IF(Vragenlijst!E124="Ja",1,0)</f>
        <v>0</v>
      </c>
      <c r="M54" s="270"/>
    </row>
    <row r="55" spans="2:13" x14ac:dyDescent="0.3">
      <c r="B55" s="280"/>
      <c r="C55" s="275" t="s">
        <v>338</v>
      </c>
      <c r="F55" s="313">
        <f>IF(F34&lt;3,12,IF(AND(F34&gt;=3,F34&lt;5),15,18))</f>
        <v>12</v>
      </c>
      <c r="G55" s="277" t="s">
        <v>339</v>
      </c>
      <c r="I55" s="350"/>
      <c r="L55" s="349"/>
      <c r="M55" s="270"/>
    </row>
    <row r="56" spans="2:13" x14ac:dyDescent="0.3">
      <c r="B56" s="280"/>
      <c r="C56" s="275" t="s">
        <v>340</v>
      </c>
      <c r="F56" s="295">
        <f>IF(Vragenlijst!E131="Ja",2*(Vragenlijst!E132/100),0)</f>
        <v>0</v>
      </c>
      <c r="G56" s="277" t="s">
        <v>339</v>
      </c>
      <c r="L56" s="349"/>
      <c r="M56" s="270"/>
    </row>
    <row r="57" spans="2:13" x14ac:dyDescent="0.3">
      <c r="B57" s="271"/>
      <c r="C57" s="275" t="s">
        <v>341</v>
      </c>
      <c r="F57" s="435">
        <f>+(F55+F56)*F38/IF(OR(Vragenlijst!E34='Drop Down '!B29,Vragenlijst!E34='Drop Down '!B30,Vragenlijst!E34='Drop Down '!B31,Vragenlijst!E34='Drop Down '!B32),2,IF(F37="uitleglocatie",2,IF(F37="uitbreidingslocatie",2,1.5)))</f>
        <v>2.4000000000000004</v>
      </c>
      <c r="G57" s="277" t="s">
        <v>342</v>
      </c>
      <c r="I57" s="275"/>
      <c r="L57" s="349"/>
      <c r="M57" s="270"/>
    </row>
    <row r="58" spans="2:13" x14ac:dyDescent="0.3">
      <c r="B58" s="271"/>
      <c r="C58" s="275"/>
      <c r="F58" s="257"/>
      <c r="G58" s="275"/>
      <c r="L58" s="349"/>
      <c r="M58" s="270"/>
    </row>
    <row r="59" spans="2:13" x14ac:dyDescent="0.3">
      <c r="B59" s="280" t="s">
        <v>312</v>
      </c>
      <c r="F59" s="257"/>
      <c r="G59" s="275"/>
      <c r="K59" s="344">
        <f>SUM(K60:K63)</f>
        <v>0</v>
      </c>
      <c r="L59" s="345">
        <f>SUM(L60:L63)</f>
        <v>0</v>
      </c>
      <c r="M59" s="270"/>
    </row>
    <row r="60" spans="2:13" x14ac:dyDescent="0.3">
      <c r="B60" s="280"/>
      <c r="C60" s="275" t="s">
        <v>343</v>
      </c>
      <c r="F60" s="257">
        <f>Uurtarieven!C6</f>
        <v>160</v>
      </c>
      <c r="G60" s="314">
        <v>32</v>
      </c>
      <c r="H60" s="275"/>
      <c r="K60" s="351">
        <f>(G60*F36*F60)*IF(Vragenlijst!E124="Ja",1,0)</f>
        <v>0</v>
      </c>
      <c r="L60" s="349">
        <f>(G60*F36)*IF(Vragenlijst!E124="Ja",1,0)</f>
        <v>0</v>
      </c>
      <c r="M60" s="270"/>
    </row>
    <row r="61" spans="2:13" x14ac:dyDescent="0.3">
      <c r="B61" s="271"/>
      <c r="C61" s="275" t="s">
        <v>344</v>
      </c>
      <c r="F61" s="257">
        <f>Uurtarieven!C6</f>
        <v>160</v>
      </c>
      <c r="G61" s="314">
        <v>20</v>
      </c>
      <c r="H61" s="275"/>
      <c r="K61" s="351">
        <f>(G61*F38*F61*H63)*IF(Vragenlijst!E124="Ja",1,0)</f>
        <v>0</v>
      </c>
      <c r="L61" s="349">
        <f>(G61*F38*H63)*IF(Vragenlijst!E124="Ja",1,0)</f>
        <v>0</v>
      </c>
      <c r="M61" s="270"/>
    </row>
    <row r="62" spans="2:13" x14ac:dyDescent="0.3">
      <c r="B62" s="271"/>
      <c r="C62" s="277" t="s">
        <v>345</v>
      </c>
      <c r="F62" s="257">
        <f>Uurtarieven!C6</f>
        <v>160</v>
      </c>
      <c r="G62" s="288">
        <v>1</v>
      </c>
      <c r="H62" s="275"/>
      <c r="K62" s="351">
        <f>(G62*F57*4*F62)*IF(Vragenlijst!E124="Ja",1,0)</f>
        <v>0</v>
      </c>
      <c r="L62" s="349">
        <f>(G62*F57*4)*IF(Vragenlijst!E124="Ja",1,0)</f>
        <v>0</v>
      </c>
      <c r="M62" s="270"/>
    </row>
    <row r="63" spans="2:13" x14ac:dyDescent="0.3">
      <c r="B63" s="271"/>
      <c r="C63" s="275" t="s">
        <v>346</v>
      </c>
      <c r="H63" s="294">
        <f>1+IF(Vragenlijst!E124="Ja",(AVERAGE(0%*Vragenlijst!E127,25%*Vragenlijst!E128,100%*Vragenlijst!E129)/100),0)</f>
        <v>1</v>
      </c>
      <c r="I63" s="275"/>
      <c r="M63" s="270"/>
    </row>
    <row r="64" spans="2:13" ht="15" thickBot="1" x14ac:dyDescent="0.35">
      <c r="B64" s="271"/>
      <c r="M64" s="270"/>
    </row>
    <row r="65" spans="2:13" ht="15" thickBot="1" x14ac:dyDescent="0.35">
      <c r="B65" s="263" t="s">
        <v>347</v>
      </c>
      <c r="C65" s="264"/>
      <c r="D65" s="264"/>
      <c r="E65" s="264"/>
      <c r="F65" s="264"/>
      <c r="G65" s="264"/>
      <c r="H65" s="264"/>
      <c r="I65" s="264"/>
      <c r="J65" s="266"/>
      <c r="K65" s="319">
        <f>SUM(K43,K47,K52,K59)</f>
        <v>0</v>
      </c>
      <c r="L65" s="422">
        <f>SUM(L43,L47,L52,L59)</f>
        <v>0</v>
      </c>
      <c r="M65" s="265"/>
    </row>
    <row r="66" spans="2:13" x14ac:dyDescent="0.3">
      <c r="M66" s="270"/>
    </row>
    <row r="67" spans="2:13" ht="15" thickBot="1" x14ac:dyDescent="0.35">
      <c r="M67" s="270"/>
    </row>
    <row r="68" spans="2:13" ht="15" thickBot="1" x14ac:dyDescent="0.35">
      <c r="B68" s="267" t="s">
        <v>348</v>
      </c>
      <c r="C68" s="264"/>
      <c r="D68" s="264"/>
      <c r="E68" s="264"/>
      <c r="F68" s="264"/>
      <c r="G68" s="264"/>
      <c r="H68" s="264"/>
      <c r="I68" s="264"/>
      <c r="J68" s="266"/>
      <c r="K68" s="264" t="s">
        <v>301</v>
      </c>
      <c r="L68" s="264"/>
      <c r="M68" s="264"/>
    </row>
    <row r="69" spans="2:13" x14ac:dyDescent="0.3">
      <c r="B69" s="271"/>
      <c r="C69" s="317" t="s">
        <v>332</v>
      </c>
      <c r="K69" s="416">
        <f>'Staffels &amp; Tabellen'!E198</f>
        <v>0</v>
      </c>
      <c r="M69" s="270"/>
    </row>
    <row r="70" spans="2:13" x14ac:dyDescent="0.3">
      <c r="B70" s="271"/>
      <c r="C70" s="317" t="s">
        <v>349</v>
      </c>
      <c r="K70" s="416">
        <f>'Staffels &amp; Tabellen'!E199</f>
        <v>0</v>
      </c>
      <c r="M70" s="270"/>
    </row>
    <row r="71" spans="2:13" x14ac:dyDescent="0.3">
      <c r="B71" s="271"/>
      <c r="C71" s="317" t="s">
        <v>350</v>
      </c>
      <c r="I71" s="282"/>
      <c r="K71" s="416">
        <f>'Staffels &amp; Tabellen'!E200</f>
        <v>5436</v>
      </c>
      <c r="M71" s="270"/>
    </row>
    <row r="72" spans="2:13" x14ac:dyDescent="0.3">
      <c r="B72" s="271"/>
      <c r="C72" s="317" t="s">
        <v>351</v>
      </c>
      <c r="K72" s="416">
        <f>'Staffels &amp; Tabellen'!E201</f>
        <v>3398</v>
      </c>
      <c r="M72" s="270"/>
    </row>
    <row r="73" spans="2:13" x14ac:dyDescent="0.3">
      <c r="B73" s="271"/>
      <c r="C73" s="317" t="s">
        <v>352</v>
      </c>
      <c r="K73" s="416">
        <f>'Staffels &amp; Tabellen'!E202</f>
        <v>1358</v>
      </c>
      <c r="M73" s="270"/>
    </row>
    <row r="74" spans="2:13" x14ac:dyDescent="0.3">
      <c r="B74" s="271"/>
      <c r="C74" s="317" t="s">
        <v>308</v>
      </c>
      <c r="K74" s="416">
        <f>'Staffels &amp; Tabellen'!E203</f>
        <v>0</v>
      </c>
      <c r="M74" s="270"/>
    </row>
    <row r="75" spans="2:13" ht="15" thickBot="1" x14ac:dyDescent="0.35">
      <c r="B75" s="271"/>
      <c r="C75" s="418" t="s">
        <v>353</v>
      </c>
      <c r="K75" s="416">
        <f>'Staffels &amp; Tabellen'!E204</f>
        <v>0</v>
      </c>
      <c r="M75" s="270"/>
    </row>
    <row r="76" spans="2:13" ht="15" thickBot="1" x14ac:dyDescent="0.35">
      <c r="B76" s="263" t="s">
        <v>354</v>
      </c>
      <c r="C76" s="264"/>
      <c r="D76" s="264"/>
      <c r="E76" s="264"/>
      <c r="F76" s="264"/>
      <c r="G76" s="264"/>
      <c r="H76" s="264"/>
      <c r="I76" s="264"/>
      <c r="J76" s="266"/>
      <c r="K76" s="323">
        <f>'Staffels &amp; Tabellen'!E205</f>
        <v>10192</v>
      </c>
      <c r="L76" s="264"/>
      <c r="M76" s="264"/>
    </row>
    <row r="78" spans="2:13" x14ac:dyDescent="0.3">
      <c r="B78" s="273"/>
      <c r="C78" s="273"/>
      <c r="D78" s="273"/>
      <c r="E78" s="273"/>
      <c r="F78" s="273"/>
    </row>
    <row r="79" spans="2:13" x14ac:dyDescent="0.3">
      <c r="B79" s="273"/>
      <c r="C79" s="273"/>
      <c r="D79" s="273"/>
      <c r="E79" s="273"/>
      <c r="F79" s="273"/>
    </row>
    <row r="80" spans="2:13" x14ac:dyDescent="0.3">
      <c r="B80" s="275"/>
    </row>
    <row r="81" spans="2:2" x14ac:dyDescent="0.3">
      <c r="B81" s="275"/>
    </row>
    <row r="82" spans="2:2" x14ac:dyDescent="0.3">
      <c r="B82" s="275"/>
    </row>
    <row r="83" spans="2:2" x14ac:dyDescent="0.3">
      <c r="B83" s="275"/>
    </row>
    <row r="84" spans="2:2" x14ac:dyDescent="0.3">
      <c r="B84" s="275"/>
    </row>
  </sheetData>
  <sheetProtection algorithmName="SHA-512" hashValue="kI+PxPRjJ1Npg419yKsf3k8RDk2bQ9C48Z3azw3KjTY4NAAnXU/AhVidAwG5N3CyfP/vEjICEOb0KxPOVu7+lg==" saltValue="FwqCPZtloDysop2Xun6WIg==" spinCount="100000" sheet="1" objects="1" scenarios="1"/>
  <hyperlinks>
    <hyperlink ref="H36" location="'Staffels &amp; Tabellen'!F37" display="Bekijk Hulptabel" xr:uid="{7C7ED5DB-24F2-476E-A528-0348F88108E8}"/>
    <hyperlink ref="H35" location="'Staffels &amp; Tabellen'!D9" display="Bekijk Staffel" xr:uid="{0D310EB1-BAB1-4776-BEC3-0F77CC60896B}"/>
  </hyperlinks>
  <pageMargins left="0.7" right="0.7" top="0.75" bottom="0.75" header="0.3" footer="0.3"/>
  <pageSetup paperSize="9" orientation="portrait" horizontalDpi="4294967293" r:id="rId1"/>
  <drawing r:id="rId2"/>
  <legacy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B94B5D-2A9E-48FB-BC0B-CFEA17499F86}">
  <dimension ref="A1:Q330"/>
  <sheetViews>
    <sheetView showGridLines="0" topLeftCell="B1" workbookViewId="0">
      <selection activeCell="C6" sqref="C6"/>
    </sheetView>
  </sheetViews>
  <sheetFormatPr defaultRowHeight="14.4" x14ac:dyDescent="0.3"/>
  <cols>
    <col min="1" max="1" width="8.77734375" hidden="1" customWidth="1"/>
    <col min="2" max="2" width="3.44140625" customWidth="1"/>
    <col min="3" max="3" width="12.21875" customWidth="1"/>
    <col min="4" max="4" width="19.21875" bestFit="1" customWidth="1"/>
    <col min="5" max="5" width="39.77734375" customWidth="1"/>
    <col min="6" max="6" width="16.5546875" bestFit="1" customWidth="1"/>
    <col min="7" max="9" width="13.77734375" customWidth="1"/>
    <col min="10" max="10" width="18.5546875" customWidth="1"/>
    <col min="11" max="16" width="13.77734375" customWidth="1"/>
    <col min="19" max="19" width="40.77734375" bestFit="1" customWidth="1"/>
    <col min="20" max="20" width="15.5546875" bestFit="1" customWidth="1"/>
  </cols>
  <sheetData>
    <row r="1" spans="1:17" ht="15" thickBot="1" x14ac:dyDescent="0.35"/>
    <row r="2" spans="1:17" ht="16.2" x14ac:dyDescent="0.3">
      <c r="A2" s="256"/>
      <c r="C2" s="249" t="str">
        <f>Vragenlijst!B2</f>
        <v>Plankostenregels bij kostenverhaal Met tijdvak</v>
      </c>
      <c r="D2" s="250"/>
      <c r="E2" s="250"/>
      <c r="F2" s="250"/>
      <c r="G2" s="250"/>
      <c r="H2" s="250"/>
      <c r="I2" s="250"/>
      <c r="J2" s="250"/>
      <c r="K2" s="250"/>
      <c r="L2" s="250"/>
      <c r="M2" s="250"/>
      <c r="N2" s="250"/>
      <c r="O2" s="250"/>
      <c r="P2" s="250"/>
      <c r="Q2" s="251"/>
    </row>
    <row r="3" spans="1:17" ht="16.2" x14ac:dyDescent="0.3">
      <c r="A3" s="256"/>
      <c r="C3" s="252"/>
      <c r="D3" s="244"/>
      <c r="E3" s="244"/>
      <c r="F3" s="244"/>
      <c r="G3" s="244"/>
      <c r="H3" s="244"/>
      <c r="I3" s="244"/>
      <c r="J3" s="244"/>
      <c r="K3" s="244"/>
      <c r="L3" s="244"/>
      <c r="M3" s="244"/>
      <c r="N3" s="244"/>
      <c r="O3" s="244"/>
      <c r="P3" s="244"/>
      <c r="Q3" s="245"/>
    </row>
    <row r="4" spans="1:17" ht="16.8" thickBot="1" x14ac:dyDescent="0.35">
      <c r="A4" s="256"/>
      <c r="C4" s="253" t="s">
        <v>355</v>
      </c>
      <c r="D4" s="254"/>
      <c r="E4" s="254"/>
      <c r="F4" s="254"/>
      <c r="G4" s="254"/>
      <c r="H4" s="254"/>
      <c r="I4" s="254"/>
      <c r="J4" s="254"/>
      <c r="K4" s="254"/>
      <c r="L4" s="254"/>
      <c r="M4" s="254"/>
      <c r="N4" s="254"/>
      <c r="O4" s="254"/>
      <c r="P4" s="254"/>
      <c r="Q4" s="255"/>
    </row>
    <row r="5" spans="1:17" ht="15" thickBot="1" x14ac:dyDescent="0.35">
      <c r="C5" s="271"/>
      <c r="D5" s="268"/>
      <c r="E5" s="268"/>
      <c r="F5" s="268"/>
      <c r="G5" s="268"/>
      <c r="H5" s="268"/>
      <c r="I5" s="268"/>
      <c r="J5" s="268"/>
      <c r="K5" s="268"/>
      <c r="L5" s="268"/>
      <c r="M5" s="268"/>
      <c r="N5" s="268"/>
      <c r="O5" s="268"/>
      <c r="P5" s="268"/>
      <c r="Q5" s="287"/>
    </row>
    <row r="6" spans="1:17" ht="15" thickBot="1" x14ac:dyDescent="0.35">
      <c r="C6" s="263" t="s">
        <v>356</v>
      </c>
      <c r="D6" s="264"/>
      <c r="E6" s="264"/>
      <c r="F6" s="264"/>
      <c r="G6" s="264"/>
      <c r="H6" s="264"/>
      <c r="I6" s="264"/>
      <c r="J6" s="264"/>
      <c r="K6" s="266"/>
      <c r="L6" s="264"/>
      <c r="M6" s="264"/>
      <c r="N6" s="264"/>
      <c r="O6" s="264"/>
      <c r="P6" s="264"/>
      <c r="Q6" s="265"/>
    </row>
    <row r="7" spans="1:17" x14ac:dyDescent="0.3">
      <c r="C7" s="271"/>
      <c r="D7" s="268"/>
      <c r="E7" s="268"/>
      <c r="F7" s="268"/>
      <c r="G7" s="268"/>
      <c r="H7" s="268"/>
      <c r="I7" s="268"/>
      <c r="J7" s="268"/>
      <c r="K7" s="268"/>
      <c r="L7" s="268"/>
      <c r="M7" s="268"/>
      <c r="N7" s="268"/>
      <c r="O7" s="268"/>
      <c r="P7" s="268"/>
      <c r="Q7" s="270"/>
    </row>
    <row r="8" spans="1:17" x14ac:dyDescent="0.3">
      <c r="C8" s="271"/>
      <c r="D8" s="357">
        <f>Vragenlijst!$E$24/10000</f>
        <v>0</v>
      </c>
      <c r="E8" s="317" t="s">
        <v>357</v>
      </c>
      <c r="F8" s="268"/>
      <c r="G8" s="459"/>
      <c r="H8" s="357">
        <f>Vragenlijst!E45/10000</f>
        <v>0</v>
      </c>
      <c r="I8" s="317" t="s">
        <v>358</v>
      </c>
      <c r="J8" s="268"/>
      <c r="K8" s="268"/>
      <c r="L8" s="268"/>
      <c r="M8" s="268"/>
      <c r="N8" s="459"/>
      <c r="P8" s="268"/>
      <c r="Q8" s="270"/>
    </row>
    <row r="9" spans="1:17" x14ac:dyDescent="0.3">
      <c r="C9" s="271"/>
      <c r="D9" s="672">
        <f>IF(D8&lt;0.5,D11,IF(AND(D8&gt;=0.5,D8&lt;1),D12,IF(AND(D8&gt;=1,D8&lt;5),D8/D13,IF(AND(D8&gt;=5,D8&lt;15),D8/D14,IF(AND(D8&gt;=15,D8&lt;30),D8/D15,IF(AND(D8&gt;=30,D8&lt;50),D8/D16,IF(AND(D8&gt;=50,D8&lt;75),D8/D17,IF(AND(D8&gt;=75,D8&lt;100),D8/D18,IF(D8&gt;=100,D8/D19,"FOUT")))))))))</f>
        <v>0.25</v>
      </c>
      <c r="E9" s="316" t="s">
        <v>359</v>
      </c>
      <c r="F9" s="268"/>
      <c r="G9" s="268"/>
      <c r="H9" s="672">
        <f>IF(H8&lt;0.5,H11,IF(AND(H8&gt;=0.5,H8&lt;1),H12,IF(AND(H8&gt;=1,H8&lt;5),H8/H13,IF(AND(H8&gt;=5,H8&lt;15),H8/H14,IF(AND(H8&gt;=15,H8&lt;30),H8/H15,IF(AND(H8&gt;=30,H8&lt;50),H8/H16,IF(AND(H8&gt;=50,H8&lt;75),H8/H17,IF(AND(H8&gt;=75,H8&lt;100),H8/H18,IF(H8&gt;=100,H8/H19,"FOUT")))))))))</f>
        <v>0.2</v>
      </c>
      <c r="I9" s="316" t="s">
        <v>360</v>
      </c>
      <c r="J9" s="268"/>
      <c r="K9" s="268"/>
      <c r="L9" s="459"/>
      <c r="M9" s="268"/>
      <c r="N9" s="459"/>
      <c r="P9" s="268"/>
      <c r="Q9" s="270"/>
    </row>
    <row r="10" spans="1:17" x14ac:dyDescent="0.3">
      <c r="C10" s="271"/>
      <c r="D10" s="268"/>
      <c r="E10" s="268"/>
      <c r="F10" s="268"/>
      <c r="G10" s="268"/>
      <c r="H10" s="268"/>
      <c r="I10" s="268"/>
      <c r="J10" s="268"/>
      <c r="K10" s="268"/>
      <c r="M10" s="268"/>
      <c r="N10" s="268"/>
      <c r="O10" s="268"/>
      <c r="P10" s="268"/>
      <c r="Q10" s="270"/>
    </row>
    <row r="11" spans="1:17" x14ac:dyDescent="0.3">
      <c r="C11" s="271"/>
      <c r="D11" s="285">
        <v>0.25</v>
      </c>
      <c r="E11" s="285" t="s">
        <v>361</v>
      </c>
      <c r="F11" s="268"/>
      <c r="G11" s="268"/>
      <c r="H11" s="285">
        <f>D11*0.8</f>
        <v>0.2</v>
      </c>
      <c r="I11" s="285" t="s">
        <v>362</v>
      </c>
      <c r="J11" s="268"/>
      <c r="K11" s="268"/>
      <c r="M11" s="268"/>
      <c r="N11" s="268"/>
      <c r="O11" s="268"/>
      <c r="P11" s="268"/>
      <c r="Q11" s="270"/>
    </row>
    <row r="12" spans="1:17" x14ac:dyDescent="0.3">
      <c r="C12" s="271"/>
      <c r="D12" s="285">
        <v>0.5</v>
      </c>
      <c r="E12" s="285" t="s">
        <v>363</v>
      </c>
      <c r="F12" s="268"/>
      <c r="G12" s="268"/>
      <c r="H12" s="285">
        <f t="shared" ref="H12:H19" si="0">D12*0.8</f>
        <v>0.4</v>
      </c>
      <c r="I12" s="285" t="s">
        <v>364</v>
      </c>
      <c r="J12" s="268"/>
      <c r="K12" s="268"/>
      <c r="L12" s="268"/>
      <c r="M12" s="268"/>
      <c r="N12" s="268"/>
      <c r="O12" s="268"/>
      <c r="P12" s="268"/>
      <c r="Q12" s="270"/>
    </row>
    <row r="13" spans="1:17" x14ac:dyDescent="0.3">
      <c r="C13" s="271"/>
      <c r="D13" s="285">
        <v>2</v>
      </c>
      <c r="E13" s="285" t="s">
        <v>365</v>
      </c>
      <c r="F13" s="268"/>
      <c r="G13" s="268"/>
      <c r="H13" s="285">
        <f t="shared" si="0"/>
        <v>1.6</v>
      </c>
      <c r="I13" s="285" t="s">
        <v>366</v>
      </c>
      <c r="J13" s="268"/>
      <c r="K13" s="268"/>
      <c r="L13" s="268"/>
      <c r="M13" s="268"/>
      <c r="N13" s="268"/>
      <c r="O13" s="268"/>
      <c r="P13" s="268"/>
      <c r="Q13" s="270"/>
    </row>
    <row r="14" spans="1:17" x14ac:dyDescent="0.3">
      <c r="C14" s="271"/>
      <c r="D14" s="285">
        <v>2.5</v>
      </c>
      <c r="E14" s="285" t="s">
        <v>367</v>
      </c>
      <c r="F14" s="268"/>
      <c r="G14" s="268"/>
      <c r="H14" s="285">
        <f t="shared" si="0"/>
        <v>2</v>
      </c>
      <c r="I14" s="285" t="s">
        <v>368</v>
      </c>
      <c r="J14" s="268"/>
      <c r="K14" s="268"/>
      <c r="L14" s="268"/>
      <c r="M14" s="268"/>
      <c r="N14" s="268"/>
      <c r="O14" s="268"/>
      <c r="P14" s="268"/>
      <c r="Q14" s="270"/>
    </row>
    <row r="15" spans="1:17" x14ac:dyDescent="0.3">
      <c r="C15" s="271"/>
      <c r="D15" s="285">
        <v>3</v>
      </c>
      <c r="E15" s="285" t="s">
        <v>369</v>
      </c>
      <c r="F15" s="268"/>
      <c r="G15" s="268"/>
      <c r="H15" s="285">
        <f t="shared" si="0"/>
        <v>2.4000000000000004</v>
      </c>
      <c r="I15" s="285" t="s">
        <v>370</v>
      </c>
      <c r="J15" s="268"/>
      <c r="K15" s="268"/>
      <c r="L15" s="268"/>
      <c r="M15" s="268"/>
      <c r="N15" s="268"/>
      <c r="O15" s="268"/>
      <c r="P15" s="268"/>
      <c r="Q15" s="270"/>
    </row>
    <row r="16" spans="1:17" x14ac:dyDescent="0.3">
      <c r="C16" s="271"/>
      <c r="D16" s="285">
        <v>3.5</v>
      </c>
      <c r="E16" s="285" t="s">
        <v>371</v>
      </c>
      <c r="F16" s="268"/>
      <c r="G16" s="268"/>
      <c r="H16" s="285">
        <f t="shared" si="0"/>
        <v>2.8000000000000003</v>
      </c>
      <c r="I16" s="285" t="s">
        <v>372</v>
      </c>
      <c r="J16" s="268"/>
      <c r="K16" s="268"/>
      <c r="L16" s="268"/>
      <c r="M16" s="268"/>
      <c r="N16" s="268"/>
      <c r="O16" s="268"/>
      <c r="P16" s="268"/>
      <c r="Q16" s="270"/>
    </row>
    <row r="17" spans="3:17" x14ac:dyDescent="0.3">
      <c r="C17" s="271"/>
      <c r="D17" s="285">
        <v>4</v>
      </c>
      <c r="E17" s="285" t="s">
        <v>373</v>
      </c>
      <c r="F17" s="268"/>
      <c r="G17" s="268"/>
      <c r="H17" s="285">
        <f t="shared" si="0"/>
        <v>3.2</v>
      </c>
      <c r="I17" s="285" t="s">
        <v>374</v>
      </c>
      <c r="J17" s="268"/>
      <c r="K17" s="268"/>
      <c r="L17" s="268"/>
      <c r="M17" s="268"/>
      <c r="N17" s="268"/>
      <c r="O17" s="268"/>
      <c r="P17" s="268"/>
      <c r="Q17" s="270"/>
    </row>
    <row r="18" spans="3:17" x14ac:dyDescent="0.3">
      <c r="C18" s="271"/>
      <c r="D18" s="285">
        <v>4.5</v>
      </c>
      <c r="E18" s="285" t="s">
        <v>375</v>
      </c>
      <c r="F18" s="268"/>
      <c r="G18" s="268"/>
      <c r="H18" s="285">
        <f t="shared" si="0"/>
        <v>3.6</v>
      </c>
      <c r="I18" s="285" t="s">
        <v>376</v>
      </c>
      <c r="J18" s="268"/>
      <c r="K18" s="268"/>
      <c r="L18" s="268"/>
      <c r="M18" s="268"/>
      <c r="N18" s="268"/>
      <c r="O18" s="268"/>
      <c r="P18" s="268"/>
      <c r="Q18" s="270"/>
    </row>
    <row r="19" spans="3:17" x14ac:dyDescent="0.3">
      <c r="C19" s="271"/>
      <c r="D19" s="285">
        <v>5</v>
      </c>
      <c r="E19" s="285" t="s">
        <v>377</v>
      </c>
      <c r="F19" s="268"/>
      <c r="G19" s="268"/>
      <c r="H19" s="285">
        <f t="shared" si="0"/>
        <v>4</v>
      </c>
      <c r="I19" s="285" t="s">
        <v>378</v>
      </c>
      <c r="J19" s="268"/>
      <c r="K19" s="268"/>
      <c r="L19" s="268"/>
      <c r="M19" s="268"/>
      <c r="N19" s="268"/>
      <c r="O19" s="268"/>
      <c r="P19" s="268"/>
      <c r="Q19" s="270"/>
    </row>
    <row r="20" spans="3:17" ht="15" thickBot="1" x14ac:dyDescent="0.35">
      <c r="C20" s="315"/>
      <c r="D20" s="310"/>
      <c r="E20" s="310"/>
      <c r="F20" s="310"/>
      <c r="G20" s="310"/>
      <c r="H20" s="310"/>
      <c r="I20" s="310"/>
      <c r="J20" s="310"/>
      <c r="K20" s="310"/>
      <c r="L20" s="310"/>
      <c r="M20" s="310"/>
      <c r="N20" s="310"/>
      <c r="O20" s="310"/>
      <c r="P20" s="310"/>
      <c r="Q20" s="311"/>
    </row>
    <row r="21" spans="3:17" ht="15" thickBot="1" x14ac:dyDescent="0.35">
      <c r="C21" s="263" t="s">
        <v>379</v>
      </c>
      <c r="D21" s="264"/>
      <c r="E21" s="264"/>
      <c r="F21" s="264"/>
      <c r="G21" s="264"/>
      <c r="H21" s="264"/>
      <c r="I21" s="264"/>
      <c r="J21" s="264"/>
      <c r="K21" s="266"/>
      <c r="L21" s="264"/>
      <c r="M21" s="264"/>
      <c r="N21" s="264"/>
      <c r="O21" s="264"/>
      <c r="P21" s="264"/>
      <c r="Q21" s="265"/>
    </row>
    <row r="22" spans="3:17" ht="15" thickBot="1" x14ac:dyDescent="0.35">
      <c r="C22" s="271"/>
      <c r="D22" s="268"/>
      <c r="E22" s="268"/>
      <c r="F22" s="268"/>
      <c r="G22" s="268"/>
      <c r="H22" s="268"/>
      <c r="I22" s="268"/>
      <c r="J22" s="268"/>
      <c r="K22" s="268"/>
      <c r="L22" s="268"/>
      <c r="M22" s="268"/>
      <c r="N22" s="268"/>
      <c r="O22" s="268"/>
      <c r="P22" s="268"/>
      <c r="Q22" s="270"/>
    </row>
    <row r="23" spans="3:17" x14ac:dyDescent="0.3">
      <c r="C23" s="271"/>
      <c r="D23" s="268"/>
      <c r="E23" s="324" t="s">
        <v>380</v>
      </c>
      <c r="F23" s="325">
        <f>IFERROR(IF((Vragenlijst!E45/Vragenlijst!E24)&gt;40%,(Vragenlijst!E45/Vragenlijst!E24)/40%,IF((Vragenlijst!E45/Vragenlijst!E24)&lt;40%,(Vragenlijst!E45/Vragenlijst!E24)/40%,1)),0)</f>
        <v>0</v>
      </c>
      <c r="G23" s="268"/>
      <c r="H23" s="268"/>
      <c r="I23" s="268"/>
      <c r="J23" s="268"/>
      <c r="K23" s="268"/>
      <c r="L23" s="268"/>
      <c r="M23" s="268"/>
      <c r="N23" s="268"/>
      <c r="O23" s="268"/>
      <c r="P23" s="268"/>
      <c r="Q23" s="270"/>
    </row>
    <row r="24" spans="3:17" x14ac:dyDescent="0.3">
      <c r="C24" s="271"/>
      <c r="D24" s="268"/>
      <c r="E24" s="326" t="s">
        <v>381</v>
      </c>
      <c r="F24" s="327"/>
      <c r="G24" s="268"/>
      <c r="H24" s="459"/>
      <c r="I24" s="268"/>
      <c r="J24" s="268"/>
      <c r="K24" s="268"/>
      <c r="L24" s="268"/>
      <c r="M24" s="268"/>
      <c r="N24" s="268"/>
      <c r="O24" s="268"/>
      <c r="P24" s="268"/>
      <c r="Q24" s="270"/>
    </row>
    <row r="25" spans="3:17" x14ac:dyDescent="0.3">
      <c r="C25" s="271"/>
      <c r="D25" s="268"/>
      <c r="E25" s="328" t="s">
        <v>382</v>
      </c>
      <c r="F25" s="329" t="s">
        <v>383</v>
      </c>
      <c r="G25" s="268"/>
      <c r="H25" s="268"/>
      <c r="I25" s="268"/>
      <c r="J25" s="268"/>
      <c r="K25" s="268"/>
      <c r="L25" s="268"/>
      <c r="M25" s="268"/>
      <c r="N25" s="268"/>
      <c r="O25" s="268"/>
      <c r="P25" s="268"/>
      <c r="Q25" s="270"/>
    </row>
    <row r="26" spans="3:17" x14ac:dyDescent="0.3">
      <c r="C26" s="271"/>
      <c r="D26" s="268"/>
      <c r="E26" s="335">
        <f t="shared" ref="E26:E28" si="1">E27-0.125</f>
        <v>0.5</v>
      </c>
      <c r="F26" s="330">
        <v>0.8</v>
      </c>
      <c r="G26" s="268"/>
      <c r="H26" s="268"/>
      <c r="I26" s="268"/>
      <c r="J26" s="268"/>
      <c r="K26" s="268"/>
      <c r="L26" s="268"/>
      <c r="M26" s="268"/>
      <c r="N26" s="268"/>
      <c r="O26" s="268"/>
      <c r="P26" s="268"/>
      <c r="Q26" s="270"/>
    </row>
    <row r="27" spans="3:17" x14ac:dyDescent="0.3">
      <c r="C27" s="271"/>
      <c r="D27" s="268"/>
      <c r="E27" s="335">
        <f t="shared" si="1"/>
        <v>0.625</v>
      </c>
      <c r="F27" s="330">
        <v>0.85</v>
      </c>
      <c r="G27" s="268"/>
      <c r="H27" s="268"/>
      <c r="I27" s="268"/>
      <c r="J27" s="268"/>
      <c r="K27" s="268"/>
      <c r="L27" s="268"/>
      <c r="M27" s="268"/>
      <c r="N27" s="268"/>
      <c r="O27" s="268"/>
      <c r="P27" s="268"/>
      <c r="Q27" s="270"/>
    </row>
    <row r="28" spans="3:17" x14ac:dyDescent="0.3">
      <c r="C28" s="271"/>
      <c r="D28" s="268"/>
      <c r="E28" s="335">
        <f t="shared" si="1"/>
        <v>0.75</v>
      </c>
      <c r="F28" s="330">
        <v>0.9</v>
      </c>
      <c r="G28" s="268"/>
      <c r="H28" s="268"/>
      <c r="I28" s="268"/>
      <c r="J28" s="268"/>
      <c r="K28" s="268"/>
      <c r="L28" s="268"/>
      <c r="M28" s="268"/>
      <c r="N28" s="268"/>
      <c r="O28" s="268"/>
      <c r="P28" s="268"/>
      <c r="Q28" s="270"/>
    </row>
    <row r="29" spans="3:17" x14ac:dyDescent="0.3">
      <c r="C29" s="271"/>
      <c r="D29" s="268"/>
      <c r="E29" s="335">
        <f>E30-0.125</f>
        <v>0.875</v>
      </c>
      <c r="F29" s="330">
        <v>0.95</v>
      </c>
      <c r="G29" s="268"/>
      <c r="H29" s="268"/>
      <c r="I29" s="268"/>
      <c r="J29" s="268"/>
      <c r="K29" s="268"/>
      <c r="L29" s="268"/>
      <c r="M29" s="268"/>
      <c r="N29" s="268"/>
      <c r="O29" s="268"/>
      <c r="P29" s="268"/>
      <c r="Q29" s="270"/>
    </row>
    <row r="30" spans="3:17" x14ac:dyDescent="0.3">
      <c r="C30" s="271"/>
      <c r="D30" s="268"/>
      <c r="E30" s="335">
        <v>1</v>
      </c>
      <c r="F30" s="330">
        <v>1</v>
      </c>
      <c r="G30" s="268"/>
      <c r="H30" s="268"/>
      <c r="I30" s="268"/>
      <c r="J30" s="268"/>
      <c r="K30" s="268"/>
      <c r="L30" s="268"/>
      <c r="M30" s="268"/>
      <c r="N30" s="268"/>
      <c r="O30" s="268"/>
      <c r="P30" s="268"/>
      <c r="Q30" s="270"/>
    </row>
    <row r="31" spans="3:17" x14ac:dyDescent="0.3">
      <c r="C31" s="271"/>
      <c r="D31" s="268"/>
      <c r="E31" s="335">
        <v>1.1200000000000001</v>
      </c>
      <c r="F31" s="330">
        <v>1.05</v>
      </c>
      <c r="G31" s="268"/>
      <c r="H31" s="268"/>
      <c r="I31" s="268"/>
      <c r="J31" s="268"/>
      <c r="K31" s="268"/>
      <c r="L31" s="268"/>
      <c r="M31" s="268"/>
      <c r="N31" s="268"/>
      <c r="O31" s="268"/>
      <c r="P31" s="268"/>
      <c r="Q31" s="270"/>
    </row>
    <row r="32" spans="3:17" x14ac:dyDescent="0.3">
      <c r="C32" s="271"/>
      <c r="D32" s="268"/>
      <c r="E32" s="335">
        <v>1.25</v>
      </c>
      <c r="F32" s="330">
        <v>1.1000000000000001</v>
      </c>
      <c r="G32" s="268"/>
      <c r="H32" s="268"/>
      <c r="I32" s="268"/>
      <c r="J32" s="268"/>
      <c r="K32" s="268"/>
      <c r="L32" s="268"/>
      <c r="M32" s="268"/>
      <c r="N32" s="268"/>
      <c r="O32" s="268"/>
      <c r="P32" s="268"/>
      <c r="Q32" s="270"/>
    </row>
    <row r="33" spans="3:17" x14ac:dyDescent="0.3">
      <c r="C33" s="271"/>
      <c r="D33" s="268"/>
      <c r="E33" s="335">
        <v>1.38</v>
      </c>
      <c r="F33" s="330">
        <v>1.1499999999999999</v>
      </c>
      <c r="G33" s="268"/>
      <c r="H33" s="268"/>
      <c r="I33" s="268"/>
      <c r="J33" s="268"/>
      <c r="K33" s="268"/>
      <c r="L33" s="268"/>
      <c r="M33" s="268"/>
      <c r="N33" s="268"/>
      <c r="O33" s="268"/>
      <c r="P33" s="268"/>
      <c r="Q33" s="270"/>
    </row>
    <row r="34" spans="3:17" x14ac:dyDescent="0.3">
      <c r="C34" s="271"/>
      <c r="D34" s="268"/>
      <c r="E34" s="335">
        <v>1.5</v>
      </c>
      <c r="F34" s="330">
        <v>1.2</v>
      </c>
      <c r="G34" s="268"/>
      <c r="H34" s="268"/>
      <c r="I34" s="268"/>
      <c r="J34" s="268"/>
      <c r="K34" s="268"/>
      <c r="L34" s="268"/>
      <c r="M34" s="268"/>
      <c r="N34" s="268"/>
      <c r="O34" s="268"/>
      <c r="P34" s="268"/>
      <c r="Q34" s="270"/>
    </row>
    <row r="35" spans="3:17" x14ac:dyDescent="0.3">
      <c r="C35" s="271"/>
      <c r="D35" s="268"/>
      <c r="E35" s="335">
        <v>1.5</v>
      </c>
      <c r="F35" s="330">
        <v>1.2</v>
      </c>
      <c r="G35" s="268"/>
      <c r="H35" s="268"/>
      <c r="I35" s="268"/>
      <c r="J35" s="268"/>
      <c r="K35" s="268"/>
      <c r="L35" s="268"/>
      <c r="M35" s="268"/>
      <c r="N35" s="268"/>
      <c r="O35" s="268"/>
      <c r="P35" s="268"/>
      <c r="Q35" s="270"/>
    </row>
    <row r="36" spans="3:17" x14ac:dyDescent="0.3">
      <c r="C36" s="271"/>
      <c r="D36" s="268"/>
      <c r="E36" s="331"/>
      <c r="F36" s="332"/>
      <c r="G36" s="268"/>
      <c r="H36" s="268"/>
      <c r="I36" s="268"/>
      <c r="J36" s="268"/>
      <c r="K36" s="268"/>
      <c r="L36" s="268"/>
      <c r="M36" s="268"/>
      <c r="N36" s="268"/>
      <c r="O36" s="268"/>
      <c r="P36" s="268"/>
      <c r="Q36" s="270"/>
    </row>
    <row r="37" spans="3:17" ht="15" thickBot="1" x14ac:dyDescent="0.35">
      <c r="C37" s="271"/>
      <c r="D37" s="268"/>
      <c r="E37" s="333" t="s">
        <v>384</v>
      </c>
      <c r="F37" s="334">
        <f>IF(F23&lt;$E$26,$F$26,
IF(F23&lt;$E$27,$F26+((F23-$E$26)/($E$27-$E$26))*($F$27-$F$26),
IF(F23&lt;$E$28,$F27+((F23-$E$27)/($E$28-$E$27))*($F$28-$F$27),
IF(F23&lt;$E$29,$F28+((F23-$E$28)/($E$29-$E$28))*($F$29-$F$28),
IF(F23&lt;$E$30,$F29+((F23-$E$29)/($E$30-$E$29))*($F$30-$F$29),
IF(F23&lt;$E$31,$F30+((F23-$E$30)/($E$31-$E$30))*($F$31-$F$30),
IF(F23&lt;$E$32,$F$31+((F23-$E$31)/($E$32-$E$31))*($F$32-$F$31),
IF(F23&lt;$E$33,$F$32+((F23-$E$32)/($E$33-$E$32))*($F$33-$F$32),
IF(F23&lt;$E$34,$F$33+((F23-$E$33)/($E$34-$E$33))*($F$34-$F$33),
IF(F23&lt;$E$35,$F$34+((F23-$E$34)/($E$35-$E$34))*($F$35-$F$34),$F$35))))))))))</f>
        <v>0.8</v>
      </c>
      <c r="G37" s="268"/>
      <c r="H37" s="268"/>
      <c r="I37" s="268"/>
      <c r="J37" s="268"/>
      <c r="K37" s="268"/>
      <c r="L37" s="268"/>
      <c r="M37" s="268"/>
      <c r="N37" s="268"/>
      <c r="O37" s="268"/>
      <c r="P37" s="268"/>
      <c r="Q37" s="270"/>
    </row>
    <row r="38" spans="3:17" ht="15" thickBot="1" x14ac:dyDescent="0.35">
      <c r="C38" s="315"/>
      <c r="D38" s="310"/>
      <c r="E38" s="310"/>
      <c r="F38" s="310"/>
      <c r="G38" s="310"/>
      <c r="H38" s="310"/>
      <c r="I38" s="310"/>
      <c r="J38" s="310"/>
      <c r="K38" s="310"/>
      <c r="L38" s="310"/>
      <c r="M38" s="310"/>
      <c r="N38" s="310"/>
      <c r="O38" s="310"/>
      <c r="P38" s="310"/>
      <c r="Q38" s="311"/>
    </row>
    <row r="39" spans="3:17" ht="15" thickBot="1" x14ac:dyDescent="0.35">
      <c r="C39" s="263" t="s">
        <v>385</v>
      </c>
      <c r="D39" s="264"/>
      <c r="E39" s="264"/>
      <c r="F39" s="264"/>
      <c r="G39" s="264"/>
      <c r="H39" s="264"/>
      <c r="I39" s="264"/>
      <c r="J39" s="264"/>
      <c r="K39" s="266"/>
      <c r="L39" s="264"/>
      <c r="M39" s="264"/>
      <c r="N39" s="264"/>
      <c r="O39" s="264"/>
      <c r="P39" s="264"/>
      <c r="Q39" s="264"/>
    </row>
    <row r="40" spans="3:17" x14ac:dyDescent="0.3">
      <c r="C40" s="301"/>
      <c r="D40" s="285"/>
      <c r="E40" s="285"/>
      <c r="F40" s="285"/>
      <c r="G40" s="285"/>
      <c r="H40" s="285"/>
      <c r="I40" s="285"/>
      <c r="J40" s="285"/>
      <c r="K40" s="285"/>
      <c r="L40" s="285"/>
      <c r="M40" s="285"/>
      <c r="N40" s="285"/>
      <c r="O40" s="285"/>
      <c r="P40" s="285"/>
      <c r="Q40" s="302"/>
    </row>
    <row r="41" spans="3:17" x14ac:dyDescent="0.3">
      <c r="C41" s="271"/>
      <c r="D41" s="357">
        <f>Vragenlijst!$E$24/10000</f>
        <v>0</v>
      </c>
      <c r="E41" s="285" t="s">
        <v>386</v>
      </c>
      <c r="F41" s="285"/>
      <c r="G41" s="303">
        <f>+IF(Vragenlijst!E66="Ja",(Vragenlijst!E67/100),1)</f>
        <v>1</v>
      </c>
      <c r="H41" s="285" t="s">
        <v>387</v>
      </c>
      <c r="I41" s="285"/>
      <c r="J41" s="285"/>
      <c r="K41" s="285"/>
      <c r="L41" s="285"/>
      <c r="M41" s="285"/>
      <c r="N41" s="285"/>
      <c r="O41" s="285"/>
      <c r="P41" s="285"/>
      <c r="Q41" s="302"/>
    </row>
    <row r="42" spans="3:17" x14ac:dyDescent="0.3">
      <c r="C42" s="271"/>
      <c r="D42" s="673">
        <f>IF(D41&lt;0.5,D44,(IF(D41&lt;1,D45,IF(D41&lt;3,D46,(IF(D41&lt;5,D47,(IF(D41&lt;10,D48,IF(D41&lt;15,D49,IF(D41&lt;20,D50,IF(D41&lt;=50,D51,D52)))))))))))*G41</f>
        <v>60</v>
      </c>
      <c r="E42" s="304" t="s">
        <v>388</v>
      </c>
      <c r="F42" s="285"/>
      <c r="G42" s="285"/>
      <c r="H42" s="285"/>
      <c r="I42" s="285"/>
      <c r="J42" s="285"/>
      <c r="K42" s="285"/>
      <c r="L42" s="285"/>
      <c r="M42" s="285"/>
      <c r="N42" s="285"/>
      <c r="O42" s="285"/>
      <c r="P42" s="285"/>
      <c r="Q42" s="302"/>
    </row>
    <row r="43" spans="3:17" x14ac:dyDescent="0.3">
      <c r="C43" s="271"/>
      <c r="D43" s="285"/>
      <c r="E43" s="285"/>
      <c r="F43" s="285"/>
      <c r="G43" s="285"/>
      <c r="H43" s="285"/>
      <c r="I43" s="285"/>
      <c r="J43" s="285"/>
      <c r="K43" s="285"/>
      <c r="L43" s="285"/>
      <c r="M43" s="285"/>
      <c r="N43" s="285"/>
      <c r="O43" s="285"/>
      <c r="P43" s="285"/>
      <c r="Q43" s="302"/>
    </row>
    <row r="44" spans="3:17" x14ac:dyDescent="0.3">
      <c r="C44" s="271"/>
      <c r="D44" s="285">
        <v>60</v>
      </c>
      <c r="E44" s="285" t="s">
        <v>389</v>
      </c>
      <c r="F44" s="285"/>
      <c r="G44" s="285"/>
      <c r="H44" s="285"/>
      <c r="I44" s="285"/>
      <c r="J44" s="285"/>
      <c r="K44" s="285"/>
      <c r="L44" s="285"/>
      <c r="M44" s="285"/>
      <c r="N44" s="285"/>
      <c r="O44" s="285"/>
      <c r="P44" s="285"/>
      <c r="Q44" s="302"/>
    </row>
    <row r="45" spans="3:17" x14ac:dyDescent="0.3">
      <c r="C45" s="271"/>
      <c r="D45" s="285">
        <v>120</v>
      </c>
      <c r="E45" s="285" t="s">
        <v>390</v>
      </c>
      <c r="F45" s="304"/>
      <c r="G45" s="304"/>
      <c r="H45" s="285"/>
      <c r="I45" s="285"/>
      <c r="J45" s="285"/>
      <c r="K45" s="285"/>
      <c r="L45" s="285"/>
      <c r="M45" s="285"/>
      <c r="N45" s="285"/>
      <c r="O45" s="285"/>
      <c r="P45" s="285"/>
      <c r="Q45" s="305"/>
    </row>
    <row r="46" spans="3:17" x14ac:dyDescent="0.3">
      <c r="C46" s="271"/>
      <c r="D46" s="275">
        <v>200</v>
      </c>
      <c r="E46" s="285" t="s">
        <v>391</v>
      </c>
      <c r="F46" s="285"/>
      <c r="G46" s="285"/>
      <c r="H46" s="285"/>
      <c r="I46" s="285"/>
      <c r="J46" s="285"/>
      <c r="K46" s="285"/>
      <c r="L46" s="285"/>
      <c r="M46" s="285"/>
      <c r="N46" s="285"/>
      <c r="O46" s="285"/>
      <c r="P46" s="285"/>
      <c r="Q46" s="302"/>
    </row>
    <row r="47" spans="3:17" x14ac:dyDescent="0.3">
      <c r="C47" s="271"/>
      <c r="D47" s="275">
        <v>300</v>
      </c>
      <c r="E47" s="285" t="s">
        <v>392</v>
      </c>
      <c r="F47" s="285"/>
      <c r="G47" s="285"/>
      <c r="H47" s="285"/>
      <c r="I47" s="285"/>
      <c r="J47" s="285"/>
      <c r="K47" s="285"/>
      <c r="L47" s="285"/>
      <c r="M47" s="285"/>
      <c r="N47" s="285"/>
      <c r="O47" s="285"/>
      <c r="P47" s="285"/>
      <c r="Q47" s="302"/>
    </row>
    <row r="48" spans="3:17" x14ac:dyDescent="0.3">
      <c r="C48" s="271"/>
      <c r="D48" s="275">
        <v>350</v>
      </c>
      <c r="E48" s="285" t="s">
        <v>393</v>
      </c>
      <c r="F48" s="285"/>
      <c r="G48" s="285"/>
      <c r="H48" s="285"/>
      <c r="I48" s="285"/>
      <c r="J48" s="285"/>
      <c r="K48" s="285"/>
      <c r="L48" s="285"/>
      <c r="M48" s="285"/>
      <c r="N48" s="285"/>
      <c r="O48" s="285"/>
      <c r="P48" s="285"/>
      <c r="Q48" s="302"/>
    </row>
    <row r="49" spans="3:17" x14ac:dyDescent="0.3">
      <c r="C49" s="271"/>
      <c r="D49" s="275">
        <v>400</v>
      </c>
      <c r="E49" s="285" t="s">
        <v>394</v>
      </c>
      <c r="F49" s="285"/>
      <c r="G49" s="285"/>
      <c r="H49" s="285"/>
      <c r="I49" s="285"/>
      <c r="J49" s="285"/>
      <c r="K49" s="285"/>
      <c r="L49" s="285"/>
      <c r="M49" s="285"/>
      <c r="N49" s="285"/>
      <c r="O49" s="285"/>
      <c r="P49" s="285"/>
      <c r="Q49" s="302"/>
    </row>
    <row r="50" spans="3:17" x14ac:dyDescent="0.3">
      <c r="C50" s="271"/>
      <c r="D50" s="275">
        <v>450</v>
      </c>
      <c r="E50" s="285" t="s">
        <v>395</v>
      </c>
      <c r="F50" s="285"/>
      <c r="G50" s="285"/>
      <c r="H50" s="285"/>
      <c r="I50" s="285"/>
      <c r="J50" s="285"/>
      <c r="K50" s="285"/>
      <c r="L50" s="285"/>
      <c r="M50" s="285"/>
      <c r="N50" s="285"/>
      <c r="O50" s="285"/>
      <c r="P50" s="285"/>
      <c r="Q50" s="302"/>
    </row>
    <row r="51" spans="3:17" x14ac:dyDescent="0.3">
      <c r="C51" s="271"/>
      <c r="D51" s="275">
        <v>500</v>
      </c>
      <c r="E51" s="285" t="s">
        <v>396</v>
      </c>
      <c r="F51" s="285"/>
      <c r="G51" s="285"/>
      <c r="H51" s="285"/>
      <c r="I51" s="285"/>
      <c r="J51" s="285"/>
      <c r="K51" s="285"/>
      <c r="L51" s="285"/>
      <c r="M51" s="285"/>
      <c r="N51" s="285"/>
      <c r="O51" s="285"/>
      <c r="P51" s="285"/>
      <c r="Q51" s="302"/>
    </row>
    <row r="52" spans="3:17" x14ac:dyDescent="0.3">
      <c r="C52" s="271"/>
      <c r="D52" s="275">
        <v>550</v>
      </c>
      <c r="E52" s="285" t="s">
        <v>397</v>
      </c>
      <c r="F52" s="285"/>
      <c r="G52" s="285"/>
      <c r="H52" s="285"/>
      <c r="I52" s="285"/>
      <c r="J52" s="285"/>
      <c r="K52" s="285"/>
      <c r="L52" s="285"/>
      <c r="M52" s="285"/>
      <c r="N52" s="285"/>
      <c r="Q52" s="302"/>
    </row>
    <row r="53" spans="3:17" ht="15" thickBot="1" x14ac:dyDescent="0.35">
      <c r="C53" s="306"/>
      <c r="D53" s="307"/>
      <c r="E53" s="307"/>
      <c r="F53" s="307"/>
      <c r="G53" s="307"/>
      <c r="H53" s="307"/>
      <c r="I53" s="307"/>
      <c r="J53" s="307"/>
      <c r="K53" s="307"/>
      <c r="L53" s="307"/>
      <c r="M53" s="307"/>
      <c r="N53" s="307"/>
      <c r="O53" s="307"/>
      <c r="P53" s="307"/>
      <c r="Q53" s="308"/>
    </row>
    <row r="54" spans="3:17" ht="15" thickBot="1" x14ac:dyDescent="0.35">
      <c r="C54" s="263" t="s">
        <v>398</v>
      </c>
      <c r="D54" s="264"/>
      <c r="E54" s="264"/>
      <c r="F54" s="264"/>
      <c r="G54" s="264"/>
      <c r="H54" s="264"/>
      <c r="I54" s="264"/>
      <c r="J54" s="264"/>
      <c r="K54" s="266"/>
      <c r="L54" s="264"/>
      <c r="M54" s="264"/>
      <c r="N54" s="264"/>
      <c r="O54" s="264"/>
      <c r="P54" s="264"/>
      <c r="Q54" s="264"/>
    </row>
    <row r="55" spans="3:17" x14ac:dyDescent="0.3">
      <c r="C55" s="301"/>
      <c r="D55" s="285"/>
      <c r="E55" s="285"/>
      <c r="F55" s="285"/>
      <c r="G55" s="285"/>
      <c r="H55" s="285"/>
      <c r="I55" s="285"/>
      <c r="J55" s="285"/>
      <c r="K55" s="285"/>
      <c r="L55" s="285"/>
      <c r="M55" s="285"/>
      <c r="N55" s="285"/>
      <c r="O55" s="285"/>
      <c r="P55" s="285"/>
      <c r="Q55" s="302"/>
    </row>
    <row r="56" spans="3:17" x14ac:dyDescent="0.3">
      <c r="C56" s="271"/>
      <c r="D56" s="357">
        <f>Vragenlijst!$E$24/10000</f>
        <v>0</v>
      </c>
      <c r="E56" s="285" t="s">
        <v>386</v>
      </c>
      <c r="F56" s="285"/>
      <c r="G56" s="303">
        <f>+IF(Vragenlijst!E66="Ja",(Vragenlijst!E67/100),1)</f>
        <v>1</v>
      </c>
      <c r="H56" s="285" t="s">
        <v>387</v>
      </c>
      <c r="I56" s="285"/>
      <c r="J56" s="285"/>
      <c r="K56" s="285"/>
      <c r="L56" s="350"/>
      <c r="M56" s="285"/>
      <c r="N56" s="285"/>
      <c r="O56" s="285"/>
      <c r="P56" s="285"/>
      <c r="Q56" s="302"/>
    </row>
    <row r="57" spans="3:17" x14ac:dyDescent="0.3">
      <c r="C57" s="271"/>
      <c r="D57" s="673">
        <f>IF(D56&lt;0.5,D59,(IF(D56&lt;1,D60,IF(D56&lt;3,D61,(IF(D56&lt;5,D62,(IF(D56&lt;10,D63,IF(D56&lt;15,D64,IF(D56&lt;20,D65,IF(D56&lt;=50,D66,D67)))))))))))*G56</f>
        <v>100</v>
      </c>
      <c r="E57" s="304" t="s">
        <v>399</v>
      </c>
      <c r="F57" s="285"/>
      <c r="G57" s="673">
        <f>IF(D56&lt;0.5,G59,(IF(D56&lt;1,G60,IF(D56&lt;3,G61,(IF(D56&lt;5,G62,(IF(D56&lt;10,G63,IF(D56&lt;15,G64,IF(D56&lt;20,G65,IF(D56&lt;=50,G66,G67)))))))))))*G56</f>
        <v>60</v>
      </c>
      <c r="H57" s="304" t="s">
        <v>400</v>
      </c>
      <c r="I57" s="285"/>
      <c r="J57" s="285"/>
      <c r="K57" s="285"/>
      <c r="L57" s="350"/>
      <c r="M57" s="285"/>
      <c r="N57" s="285"/>
      <c r="O57" s="285"/>
      <c r="P57" s="285"/>
      <c r="Q57" s="302"/>
    </row>
    <row r="58" spans="3:17" x14ac:dyDescent="0.3">
      <c r="C58" s="271"/>
      <c r="D58" s="285"/>
      <c r="E58" s="285"/>
      <c r="F58" s="285"/>
      <c r="G58" s="285"/>
      <c r="H58" s="285"/>
      <c r="I58" s="285"/>
      <c r="J58" s="285"/>
      <c r="K58" s="285"/>
      <c r="L58" s="285"/>
      <c r="M58" s="285"/>
      <c r="N58" s="285"/>
      <c r="O58" s="285"/>
      <c r="P58" s="285"/>
      <c r="Q58" s="302"/>
    </row>
    <row r="59" spans="3:17" x14ac:dyDescent="0.3">
      <c r="C59" s="271"/>
      <c r="D59" s="285">
        <v>100</v>
      </c>
      <c r="E59" s="285" t="s">
        <v>389</v>
      </c>
      <c r="F59" s="285"/>
      <c r="G59" s="285">
        <v>60</v>
      </c>
      <c r="H59" s="285" t="str">
        <f>E59</f>
        <v>uur voor kostenverhaalgebied &lt; 0,5 ha</v>
      </c>
      <c r="I59" s="285"/>
      <c r="J59" s="285"/>
      <c r="K59" s="285"/>
      <c r="L59" s="285"/>
      <c r="M59" s="459"/>
      <c r="N59" s="285"/>
      <c r="O59" s="285"/>
      <c r="P59" s="285"/>
      <c r="Q59" s="302"/>
    </row>
    <row r="60" spans="3:17" x14ac:dyDescent="0.3">
      <c r="C60" s="271"/>
      <c r="D60" s="285">
        <v>200</v>
      </c>
      <c r="E60" s="285" t="s">
        <v>390</v>
      </c>
      <c r="F60" s="304"/>
      <c r="G60" s="285">
        <v>120</v>
      </c>
      <c r="H60" s="285" t="str">
        <f t="shared" ref="H60:H67" si="2">E60</f>
        <v>uur voor kostenverhaalgebied tussen 0,5 ha en 1 ha</v>
      </c>
      <c r="I60" s="285"/>
      <c r="J60" s="285"/>
      <c r="K60" s="285"/>
      <c r="L60" s="285"/>
      <c r="M60" s="459"/>
      <c r="N60" s="285"/>
      <c r="O60" s="285"/>
      <c r="P60" s="285"/>
      <c r="Q60" s="305"/>
    </row>
    <row r="61" spans="3:17" x14ac:dyDescent="0.3">
      <c r="C61" s="271"/>
      <c r="D61" s="275">
        <v>300</v>
      </c>
      <c r="E61" s="285" t="s">
        <v>391</v>
      </c>
      <c r="F61" s="285"/>
      <c r="G61" s="285">
        <v>200</v>
      </c>
      <c r="H61" s="285" t="str">
        <f t="shared" si="2"/>
        <v>uur voor kostenverhaalgebied tussen 1 ha en 3 ha</v>
      </c>
      <c r="I61" s="285"/>
      <c r="J61" s="285"/>
      <c r="K61" s="285"/>
      <c r="L61" s="285"/>
      <c r="M61" s="285"/>
      <c r="N61" s="285"/>
      <c r="O61" s="285"/>
      <c r="P61" s="285"/>
      <c r="Q61" s="302"/>
    </row>
    <row r="62" spans="3:17" x14ac:dyDescent="0.3">
      <c r="C62" s="271"/>
      <c r="D62" s="275">
        <v>400</v>
      </c>
      <c r="E62" s="285" t="s">
        <v>392</v>
      </c>
      <c r="F62" s="285"/>
      <c r="G62" s="285">
        <v>300</v>
      </c>
      <c r="H62" s="285" t="str">
        <f t="shared" si="2"/>
        <v>uur voor kostenverhaalgebied tussen 3 ha en 5 ha</v>
      </c>
      <c r="I62" s="285"/>
      <c r="J62" s="285"/>
      <c r="K62" s="285"/>
      <c r="L62" s="285"/>
      <c r="M62" s="285"/>
      <c r="N62" s="285"/>
      <c r="O62" s="285"/>
      <c r="P62" s="285"/>
      <c r="Q62" s="302"/>
    </row>
    <row r="63" spans="3:17" x14ac:dyDescent="0.3">
      <c r="C63" s="271"/>
      <c r="D63" s="275">
        <v>450</v>
      </c>
      <c r="E63" s="285" t="s">
        <v>393</v>
      </c>
      <c r="F63" s="285"/>
      <c r="G63" s="285">
        <v>350</v>
      </c>
      <c r="H63" s="285" t="str">
        <f t="shared" si="2"/>
        <v>uur voor kostenverhaalgebied tussen 5 ha en 10 ha</v>
      </c>
      <c r="I63" s="285"/>
      <c r="J63" s="285"/>
      <c r="K63" s="285"/>
      <c r="L63" s="285"/>
      <c r="M63" s="285"/>
      <c r="N63" s="285"/>
      <c r="O63" s="285"/>
      <c r="P63" s="285"/>
      <c r="Q63" s="302"/>
    </row>
    <row r="64" spans="3:17" x14ac:dyDescent="0.3">
      <c r="C64" s="271"/>
      <c r="D64" s="275">
        <v>500</v>
      </c>
      <c r="E64" s="285" t="s">
        <v>394</v>
      </c>
      <c r="F64" s="285"/>
      <c r="G64" s="285">
        <v>400</v>
      </c>
      <c r="H64" s="285" t="str">
        <f t="shared" si="2"/>
        <v>uur voor kostenverhaalgebied tussen 10 ha en 15 ha</v>
      </c>
      <c r="I64" s="285"/>
      <c r="J64" s="285"/>
      <c r="K64" s="285"/>
      <c r="L64" s="285"/>
      <c r="M64" s="285"/>
      <c r="N64" s="285"/>
      <c r="O64" s="285"/>
      <c r="P64" s="285"/>
      <c r="Q64" s="302"/>
    </row>
    <row r="65" spans="3:17" x14ac:dyDescent="0.3">
      <c r="C65" s="271"/>
      <c r="D65" s="275">
        <v>550</v>
      </c>
      <c r="E65" s="285" t="s">
        <v>395</v>
      </c>
      <c r="F65" s="285"/>
      <c r="G65" s="285">
        <v>450</v>
      </c>
      <c r="H65" s="285" t="str">
        <f t="shared" si="2"/>
        <v>uur voor kostenverhaalgebied tussen 15 ha en 20 ha</v>
      </c>
      <c r="I65" s="285"/>
      <c r="J65" s="285"/>
      <c r="K65" s="285"/>
      <c r="L65" s="285"/>
      <c r="M65" s="285"/>
      <c r="N65" s="285"/>
      <c r="O65" s="285"/>
      <c r="P65" s="285"/>
      <c r="Q65" s="302"/>
    </row>
    <row r="66" spans="3:17" x14ac:dyDescent="0.3">
      <c r="C66" s="271"/>
      <c r="D66" s="275">
        <v>600</v>
      </c>
      <c r="E66" s="285" t="s">
        <v>396</v>
      </c>
      <c r="F66" s="285"/>
      <c r="G66" s="285">
        <v>500</v>
      </c>
      <c r="H66" s="285" t="str">
        <f t="shared" si="2"/>
        <v>uur voor kostenverhaalgebied tussen 20 ha en 50 ha</v>
      </c>
      <c r="I66" s="285"/>
      <c r="J66" s="285"/>
      <c r="K66" s="285"/>
      <c r="L66" s="285"/>
      <c r="M66" s="285"/>
      <c r="N66" s="285"/>
      <c r="O66" s="285"/>
      <c r="P66" s="285"/>
      <c r="Q66" s="302"/>
    </row>
    <row r="67" spans="3:17" x14ac:dyDescent="0.3">
      <c r="C67" s="271"/>
      <c r="D67" s="275">
        <v>700</v>
      </c>
      <c r="E67" s="285" t="s">
        <v>397</v>
      </c>
      <c r="F67" s="285"/>
      <c r="G67" s="285">
        <v>550</v>
      </c>
      <c r="H67" s="285" t="str">
        <f t="shared" si="2"/>
        <v>uur voor kostenverhaalgebied groter dan 50 ha</v>
      </c>
      <c r="I67" s="285"/>
      <c r="J67" s="285"/>
      <c r="K67" s="285"/>
      <c r="L67" s="285"/>
      <c r="M67" s="285"/>
      <c r="N67" s="285"/>
      <c r="Q67" s="302"/>
    </row>
    <row r="68" spans="3:17" ht="15" thickBot="1" x14ac:dyDescent="0.35">
      <c r="C68" s="306"/>
      <c r="D68" s="307"/>
      <c r="E68" s="307"/>
      <c r="F68" s="307"/>
      <c r="G68" s="307"/>
      <c r="H68" s="307"/>
      <c r="I68" s="307"/>
      <c r="J68" s="307"/>
      <c r="K68" s="307"/>
      <c r="L68" s="307"/>
      <c r="M68" s="307"/>
      <c r="N68" s="307"/>
      <c r="O68" s="307"/>
      <c r="P68" s="307"/>
      <c r="Q68" s="308"/>
    </row>
    <row r="69" spans="3:17" ht="15" thickBot="1" x14ac:dyDescent="0.35">
      <c r="C69" s="263" t="s">
        <v>401</v>
      </c>
      <c r="D69" s="264"/>
      <c r="E69" s="264"/>
      <c r="F69" s="264"/>
      <c r="G69" s="264"/>
      <c r="H69" s="264"/>
      <c r="I69" s="264"/>
      <c r="J69" s="264"/>
      <c r="K69" s="266"/>
      <c r="L69" s="264"/>
      <c r="M69" s="264"/>
      <c r="N69" s="264"/>
      <c r="O69" s="264"/>
      <c r="P69" s="264"/>
      <c r="Q69" s="264"/>
    </row>
    <row r="70" spans="3:17" x14ac:dyDescent="0.3">
      <c r="C70" s="309" t="s">
        <v>402</v>
      </c>
      <c r="D70" s="285"/>
      <c r="E70" s="285"/>
      <c r="G70" s="285"/>
      <c r="H70" s="285"/>
      <c r="I70" s="285"/>
      <c r="J70" s="285"/>
      <c r="K70" s="285"/>
      <c r="L70" s="285"/>
      <c r="M70" s="285"/>
      <c r="N70" s="285"/>
      <c r="O70" s="285"/>
      <c r="P70" s="285"/>
      <c r="Q70" s="302"/>
    </row>
    <row r="71" spans="3:17" x14ac:dyDescent="0.3">
      <c r="C71" s="309"/>
      <c r="D71" s="285"/>
      <c r="E71" s="285"/>
      <c r="F71" s="285"/>
      <c r="G71" s="303"/>
      <c r="H71" s="285"/>
      <c r="I71" s="285"/>
      <c r="J71" s="285"/>
      <c r="K71" s="285"/>
      <c r="L71" s="285"/>
      <c r="M71" s="285"/>
      <c r="N71" s="285"/>
      <c r="O71" s="285"/>
      <c r="P71" s="285"/>
      <c r="Q71" s="302"/>
    </row>
    <row r="72" spans="3:17" x14ac:dyDescent="0.3">
      <c r="C72" s="271"/>
      <c r="D72" s="357">
        <f>Vragenlijst!$E$24/10000</f>
        <v>0</v>
      </c>
      <c r="E72" s="285" t="s">
        <v>386</v>
      </c>
      <c r="F72" s="285"/>
      <c r="G72" s="303">
        <f>+IF(Vragenlijst!E66="Ja",(Vragenlijst!E67/100),1)</f>
        <v>1</v>
      </c>
      <c r="H72" s="285" t="s">
        <v>387</v>
      </c>
      <c r="I72" s="285"/>
      <c r="J72" s="285"/>
      <c r="K72" s="285"/>
      <c r="L72" s="285"/>
      <c r="M72" s="285"/>
      <c r="N72" s="285"/>
      <c r="O72" s="285"/>
      <c r="P72" s="285"/>
      <c r="Q72" s="302"/>
    </row>
    <row r="73" spans="3:17" x14ac:dyDescent="0.3">
      <c r="C73" s="271"/>
      <c r="D73" s="673">
        <f>IF(D72&lt;0.5,D75,(IF(D72&lt;1,D76,IF(D72&lt;3,D77,(IF(D72&lt;5,D78,(IF(D72&lt;10,D79,IF(D72&lt;15,D80,IF(D72&lt;20,D81,IF(D72&lt;=50,D82,D83)))))))))))*G72</f>
        <v>38</v>
      </c>
      <c r="E73" s="304" t="s">
        <v>403</v>
      </c>
      <c r="F73" s="285"/>
      <c r="G73" s="285"/>
      <c r="H73" s="285"/>
      <c r="I73" s="285"/>
      <c r="J73" s="285"/>
      <c r="K73" s="285"/>
      <c r="L73" s="285"/>
      <c r="M73" s="350"/>
      <c r="N73" s="285"/>
      <c r="O73" s="285"/>
      <c r="P73" s="285"/>
      <c r="Q73" s="302"/>
    </row>
    <row r="74" spans="3:17" x14ac:dyDescent="0.3">
      <c r="C74" s="271"/>
      <c r="D74" s="285"/>
      <c r="E74" s="285"/>
      <c r="F74" s="285"/>
      <c r="G74" s="285"/>
      <c r="H74" s="285"/>
      <c r="I74" s="285"/>
      <c r="J74" s="285"/>
      <c r="K74" s="285"/>
      <c r="L74" s="285"/>
      <c r="M74" s="285"/>
      <c r="N74" s="285"/>
      <c r="O74" s="285"/>
      <c r="P74" s="285"/>
      <c r="Q74" s="302"/>
    </row>
    <row r="75" spans="3:17" x14ac:dyDescent="0.3">
      <c r="C75" s="271"/>
      <c r="D75" s="285">
        <v>38</v>
      </c>
      <c r="E75" s="285" t="s">
        <v>389</v>
      </c>
      <c r="F75" s="285"/>
      <c r="G75" s="304"/>
      <c r="H75" s="285"/>
      <c r="I75" s="285"/>
      <c r="J75" s="285"/>
      <c r="K75" s="285"/>
      <c r="L75" s="285"/>
      <c r="M75" s="285"/>
      <c r="N75" s="285"/>
      <c r="O75" s="285"/>
      <c r="P75" s="285"/>
      <c r="Q75" s="305"/>
    </row>
    <row r="76" spans="3:17" x14ac:dyDescent="0.3">
      <c r="C76" s="271"/>
      <c r="D76" s="285">
        <v>75</v>
      </c>
      <c r="E76" s="285" t="s">
        <v>390</v>
      </c>
      <c r="F76" s="304"/>
      <c r="G76" s="285"/>
      <c r="H76" s="285"/>
      <c r="I76" s="285"/>
      <c r="J76" s="285"/>
      <c r="K76" s="285"/>
      <c r="L76" s="285"/>
      <c r="M76" s="285"/>
      <c r="N76" s="285"/>
      <c r="O76" s="285"/>
      <c r="P76" s="285"/>
      <c r="Q76" s="302"/>
    </row>
    <row r="77" spans="3:17" x14ac:dyDescent="0.3">
      <c r="C77" s="271"/>
      <c r="D77" s="275">
        <v>113</v>
      </c>
      <c r="E77" s="285" t="s">
        <v>391</v>
      </c>
      <c r="F77" s="285"/>
      <c r="G77" s="285"/>
      <c r="H77" s="285"/>
      <c r="I77" s="285"/>
      <c r="J77" s="285"/>
      <c r="K77" s="285"/>
      <c r="L77" s="285"/>
      <c r="M77" s="285"/>
      <c r="N77" s="285"/>
      <c r="O77" s="285"/>
      <c r="P77" s="285"/>
      <c r="Q77" s="302"/>
    </row>
    <row r="78" spans="3:17" x14ac:dyDescent="0.3">
      <c r="C78" s="271"/>
      <c r="D78" s="275">
        <v>150</v>
      </c>
      <c r="E78" s="285" t="s">
        <v>392</v>
      </c>
      <c r="F78" s="285"/>
      <c r="G78" s="285"/>
      <c r="H78" s="285"/>
      <c r="I78" s="285"/>
      <c r="J78" s="285"/>
      <c r="K78" s="285"/>
      <c r="L78" s="285"/>
      <c r="M78" s="285"/>
      <c r="N78" s="285"/>
      <c r="O78" s="285"/>
      <c r="P78" s="285"/>
      <c r="Q78" s="302"/>
    </row>
    <row r="79" spans="3:17" x14ac:dyDescent="0.3">
      <c r="C79" s="271"/>
      <c r="D79" s="275">
        <v>173</v>
      </c>
      <c r="E79" s="285" t="s">
        <v>393</v>
      </c>
      <c r="F79" s="285"/>
      <c r="G79" s="285"/>
      <c r="H79" s="285"/>
      <c r="I79" s="285"/>
      <c r="J79" s="285"/>
      <c r="K79" s="285"/>
      <c r="L79" s="285"/>
      <c r="M79" s="285"/>
      <c r="N79" s="285"/>
      <c r="O79" s="285"/>
      <c r="P79" s="285"/>
      <c r="Q79" s="302"/>
    </row>
    <row r="80" spans="3:17" x14ac:dyDescent="0.3">
      <c r="C80" s="271"/>
      <c r="D80" s="275">
        <v>188</v>
      </c>
      <c r="E80" s="285" t="s">
        <v>394</v>
      </c>
      <c r="F80" s="285"/>
      <c r="G80" s="285"/>
      <c r="H80" s="285"/>
      <c r="I80" s="285"/>
      <c r="J80" s="285"/>
      <c r="K80" s="285"/>
      <c r="L80" s="285"/>
      <c r="M80" s="285"/>
      <c r="N80" s="285"/>
      <c r="O80" s="285"/>
      <c r="P80" s="285"/>
      <c r="Q80" s="302"/>
    </row>
    <row r="81" spans="3:17" x14ac:dyDescent="0.3">
      <c r="C81" s="271"/>
      <c r="D81" s="275">
        <v>300</v>
      </c>
      <c r="E81" s="285" t="s">
        <v>395</v>
      </c>
      <c r="F81" s="285"/>
      <c r="G81" s="285"/>
      <c r="H81" s="285"/>
      <c r="I81" s="285"/>
      <c r="J81" s="285"/>
      <c r="K81" s="285"/>
      <c r="L81" s="285"/>
      <c r="M81" s="285"/>
      <c r="N81" s="285"/>
      <c r="O81" s="285"/>
      <c r="P81" s="285"/>
      <c r="Q81" s="302"/>
    </row>
    <row r="82" spans="3:17" x14ac:dyDescent="0.3">
      <c r="C82" s="271"/>
      <c r="D82" s="275">
        <v>375</v>
      </c>
      <c r="E82" s="285" t="s">
        <v>396</v>
      </c>
      <c r="F82" s="285"/>
      <c r="G82" s="285"/>
      <c r="H82" s="285"/>
      <c r="I82" s="285"/>
      <c r="J82" s="285"/>
      <c r="K82" s="285"/>
      <c r="L82" s="285"/>
      <c r="M82" s="285"/>
      <c r="N82" s="285"/>
      <c r="O82" s="285"/>
      <c r="P82" s="285"/>
      <c r="Q82" s="302"/>
    </row>
    <row r="83" spans="3:17" x14ac:dyDescent="0.3">
      <c r="C83" s="271"/>
      <c r="D83" s="275">
        <v>450</v>
      </c>
      <c r="E83" s="285" t="s">
        <v>397</v>
      </c>
      <c r="F83" s="285"/>
      <c r="G83" s="285"/>
      <c r="H83" s="285"/>
      <c r="I83" s="285"/>
      <c r="J83" s="285"/>
      <c r="K83" s="285"/>
      <c r="L83" s="285"/>
      <c r="M83" s="285"/>
      <c r="N83" s="285"/>
      <c r="O83" s="285"/>
      <c r="P83" s="285"/>
      <c r="Q83" s="302"/>
    </row>
    <row r="84" spans="3:17" ht="15" thickBot="1" x14ac:dyDescent="0.35">
      <c r="C84" s="306"/>
      <c r="D84" s="310"/>
      <c r="E84" s="310"/>
      <c r="F84" s="310"/>
      <c r="G84" s="307"/>
      <c r="H84" s="307"/>
      <c r="I84" s="307"/>
      <c r="J84" s="307"/>
      <c r="K84" s="307"/>
      <c r="L84" s="307"/>
      <c r="M84" s="307"/>
      <c r="N84" s="307"/>
      <c r="O84" s="307"/>
      <c r="P84" s="307"/>
      <c r="Q84" s="308"/>
    </row>
    <row r="85" spans="3:17" ht="15" thickBot="1" x14ac:dyDescent="0.35">
      <c r="C85" s="263" t="s">
        <v>404</v>
      </c>
      <c r="D85" s="264"/>
      <c r="E85" s="264"/>
      <c r="F85" s="264"/>
      <c r="G85" s="264"/>
      <c r="H85" s="264"/>
      <c r="I85" s="264"/>
      <c r="J85" s="264"/>
      <c r="K85" s="266"/>
      <c r="L85" s="264"/>
      <c r="M85" s="264"/>
      <c r="N85" s="264"/>
      <c r="O85" s="264"/>
      <c r="P85" s="264"/>
      <c r="Q85" s="264"/>
    </row>
    <row r="86" spans="3:17" x14ac:dyDescent="0.3">
      <c r="C86" s="309" t="s">
        <v>405</v>
      </c>
      <c r="D86" s="285"/>
      <c r="E86" s="285"/>
      <c r="F86" s="285"/>
      <c r="G86" s="285"/>
      <c r="H86" s="285"/>
      <c r="I86" s="285"/>
      <c r="J86" s="285"/>
      <c r="K86" s="285"/>
      <c r="L86" s="285"/>
      <c r="M86" s="285"/>
      <c r="N86" s="285"/>
      <c r="O86" s="285"/>
      <c r="P86" s="285"/>
      <c r="Q86" s="302"/>
    </row>
    <row r="87" spans="3:17" x14ac:dyDescent="0.3">
      <c r="C87" s="309"/>
      <c r="D87" s="285"/>
      <c r="E87" s="285"/>
      <c r="F87" s="285"/>
      <c r="G87" s="285"/>
      <c r="H87" s="285"/>
      <c r="I87" s="285"/>
      <c r="J87" s="285"/>
      <c r="K87" s="285"/>
      <c r="L87" s="285"/>
      <c r="M87" s="285"/>
      <c r="N87" s="285"/>
      <c r="O87" s="285"/>
      <c r="P87" s="285"/>
      <c r="Q87" s="302"/>
    </row>
    <row r="88" spans="3:17" x14ac:dyDescent="0.3">
      <c r="C88" s="271"/>
      <c r="D88" s="357">
        <f>Vragenlijst!$E$24/10000</f>
        <v>0</v>
      </c>
      <c r="E88" s="285" t="s">
        <v>386</v>
      </c>
      <c r="F88" s="285"/>
      <c r="G88" s="303">
        <f>+IF(Vragenlijst!E66="Ja",(Vragenlijst!E67/100),1)</f>
        <v>1</v>
      </c>
      <c r="H88" s="285" t="s">
        <v>387</v>
      </c>
      <c r="I88" s="285"/>
      <c r="J88" s="285"/>
      <c r="K88" s="285"/>
      <c r="L88" s="350"/>
      <c r="M88" s="285"/>
      <c r="N88" s="285"/>
      <c r="O88" s="285"/>
      <c r="P88" s="285"/>
      <c r="Q88" s="302"/>
    </row>
    <row r="89" spans="3:17" x14ac:dyDescent="0.3">
      <c r="C89" s="271"/>
      <c r="D89" s="673">
        <f>IF(D88&lt;0.5,D91,(IF(D88&lt;1,D92,IF(D88&lt;3,D93,(IF(D88&lt;5,D94,(IF(D88&lt;10,D95,IF(D88&lt;15,D96,IF(D88&lt;20,D97,IF(D88&lt;=50,D98,D99)))))))))))*G88</f>
        <v>25</v>
      </c>
      <c r="E89" s="304" t="s">
        <v>406</v>
      </c>
      <c r="F89" s="285"/>
      <c r="G89" s="673">
        <f>IF(D88&lt;0.5,G91,(IF(D88&lt;1,G92,IF(D88&lt;3,G93,(IF(D88&lt;5,G94,(IF(D88&lt;10,G95,IF(D88&lt;15,G96,IF(D88&lt;20,G97,IF(D88&lt;=50,G98,G99)))))))))))*G88</f>
        <v>38</v>
      </c>
      <c r="H89" s="304" t="s">
        <v>407</v>
      </c>
      <c r="I89" s="285"/>
      <c r="J89" s="285"/>
      <c r="K89" s="285"/>
      <c r="L89" s="285"/>
      <c r="M89" s="285"/>
      <c r="N89" s="285"/>
      <c r="O89" s="285"/>
      <c r="P89" s="285"/>
      <c r="Q89" s="302"/>
    </row>
    <row r="90" spans="3:17" x14ac:dyDescent="0.3">
      <c r="C90" s="271"/>
      <c r="D90" s="285"/>
      <c r="E90" s="285"/>
      <c r="F90" s="285"/>
      <c r="G90" s="285"/>
      <c r="H90" s="285"/>
      <c r="I90" s="285"/>
      <c r="J90" s="285"/>
      <c r="K90" s="285"/>
      <c r="L90" s="285"/>
      <c r="M90" s="285"/>
      <c r="N90" s="285"/>
      <c r="O90" s="285"/>
      <c r="P90" s="285"/>
      <c r="Q90" s="302"/>
    </row>
    <row r="91" spans="3:17" x14ac:dyDescent="0.3">
      <c r="C91" s="271"/>
      <c r="D91" s="285">
        <f>25</f>
        <v>25</v>
      </c>
      <c r="E91" s="285" t="s">
        <v>389</v>
      </c>
      <c r="F91" s="285"/>
      <c r="G91" s="285">
        <v>38</v>
      </c>
      <c r="H91" s="285" t="s">
        <v>389</v>
      </c>
      <c r="I91" s="285"/>
      <c r="J91" s="285"/>
      <c r="K91" s="285"/>
      <c r="L91" s="350"/>
      <c r="M91" s="285"/>
      <c r="N91" s="285"/>
      <c r="O91" s="285"/>
      <c r="P91" s="285"/>
      <c r="Q91" s="302"/>
    </row>
    <row r="92" spans="3:17" x14ac:dyDescent="0.3">
      <c r="C92" s="271"/>
      <c r="D92" s="285">
        <f>50</f>
        <v>50</v>
      </c>
      <c r="E92" s="285" t="s">
        <v>390</v>
      </c>
      <c r="F92" s="304"/>
      <c r="G92" s="285">
        <v>75</v>
      </c>
      <c r="H92" s="285" t="s">
        <v>390</v>
      </c>
      <c r="I92" s="285"/>
      <c r="J92" s="285"/>
      <c r="K92" s="285"/>
      <c r="L92" s="285"/>
      <c r="M92" s="285"/>
      <c r="N92" s="285"/>
      <c r="O92" s="285"/>
      <c r="P92" s="285"/>
      <c r="Q92" s="302"/>
    </row>
    <row r="93" spans="3:17" x14ac:dyDescent="0.3">
      <c r="C93" s="271"/>
      <c r="D93" s="275">
        <f>75</f>
        <v>75</v>
      </c>
      <c r="E93" s="285" t="s">
        <v>391</v>
      </c>
      <c r="F93" s="285"/>
      <c r="G93" s="275">
        <v>113</v>
      </c>
      <c r="H93" s="285" t="s">
        <v>391</v>
      </c>
      <c r="I93" s="285"/>
      <c r="J93" s="285"/>
      <c r="K93" s="285"/>
      <c r="L93" s="285"/>
      <c r="M93" s="285"/>
      <c r="N93" s="285"/>
      <c r="O93" s="285"/>
      <c r="P93" s="285"/>
      <c r="Q93" s="302"/>
    </row>
    <row r="94" spans="3:17" x14ac:dyDescent="0.3">
      <c r="C94" s="271"/>
      <c r="D94" s="275">
        <f>100</f>
        <v>100</v>
      </c>
      <c r="E94" s="285" t="s">
        <v>392</v>
      </c>
      <c r="F94" s="285"/>
      <c r="G94" s="275">
        <v>150</v>
      </c>
      <c r="H94" s="285" t="s">
        <v>392</v>
      </c>
      <c r="I94" s="285"/>
      <c r="J94" s="285"/>
      <c r="K94" s="285"/>
      <c r="L94" s="285"/>
      <c r="M94" s="285"/>
      <c r="N94" s="285"/>
      <c r="O94" s="285"/>
      <c r="P94" s="285"/>
      <c r="Q94" s="302"/>
    </row>
    <row r="95" spans="3:17" x14ac:dyDescent="0.3">
      <c r="C95" s="271"/>
      <c r="D95" s="275">
        <f>115</f>
        <v>115</v>
      </c>
      <c r="E95" s="285" t="s">
        <v>393</v>
      </c>
      <c r="F95" s="285"/>
      <c r="G95" s="275">
        <v>173</v>
      </c>
      <c r="H95" s="285" t="s">
        <v>393</v>
      </c>
      <c r="I95" s="285"/>
      <c r="J95" s="285"/>
      <c r="K95" s="285"/>
      <c r="L95" s="285"/>
      <c r="M95" s="285"/>
      <c r="N95" s="285"/>
      <c r="O95" s="285"/>
      <c r="P95" s="285"/>
      <c r="Q95" s="302"/>
    </row>
    <row r="96" spans="3:17" x14ac:dyDescent="0.3">
      <c r="C96" s="271"/>
      <c r="D96" s="275">
        <f>125</f>
        <v>125</v>
      </c>
      <c r="E96" s="285" t="s">
        <v>394</v>
      </c>
      <c r="F96" s="285"/>
      <c r="G96" s="275">
        <v>188</v>
      </c>
      <c r="H96" s="285" t="s">
        <v>394</v>
      </c>
      <c r="I96" s="285"/>
      <c r="J96" s="285"/>
      <c r="K96" s="285"/>
      <c r="L96" s="285"/>
      <c r="M96" s="285"/>
      <c r="N96" s="285"/>
      <c r="O96" s="285"/>
      <c r="P96" s="285"/>
      <c r="Q96" s="302"/>
    </row>
    <row r="97" spans="3:17" x14ac:dyDescent="0.3">
      <c r="C97" s="271"/>
      <c r="D97" s="275">
        <f>200</f>
        <v>200</v>
      </c>
      <c r="E97" s="285" t="s">
        <v>395</v>
      </c>
      <c r="F97" s="285"/>
      <c r="G97" s="275">
        <v>300</v>
      </c>
      <c r="H97" s="285" t="s">
        <v>395</v>
      </c>
      <c r="I97" s="285"/>
      <c r="J97" s="285"/>
      <c r="K97" s="285"/>
      <c r="L97" s="285"/>
      <c r="M97" s="285"/>
      <c r="N97" s="285"/>
      <c r="O97" s="285"/>
      <c r="P97" s="285"/>
      <c r="Q97" s="302"/>
    </row>
    <row r="98" spans="3:17" x14ac:dyDescent="0.3">
      <c r="C98" s="271"/>
      <c r="D98" s="275">
        <f>250</f>
        <v>250</v>
      </c>
      <c r="E98" s="285" t="s">
        <v>396</v>
      </c>
      <c r="F98" s="285"/>
      <c r="G98" s="275">
        <v>375</v>
      </c>
      <c r="H98" s="285" t="s">
        <v>396</v>
      </c>
      <c r="I98" s="285"/>
      <c r="J98" s="285"/>
      <c r="K98" s="285"/>
      <c r="L98" s="285"/>
      <c r="M98" s="285"/>
      <c r="N98" s="285"/>
      <c r="O98" s="285"/>
      <c r="P98" s="285"/>
      <c r="Q98" s="302"/>
    </row>
    <row r="99" spans="3:17" x14ac:dyDescent="0.3">
      <c r="C99" s="271"/>
      <c r="D99" s="275">
        <f>300</f>
        <v>300</v>
      </c>
      <c r="E99" s="285" t="s">
        <v>397</v>
      </c>
      <c r="F99" s="285"/>
      <c r="G99" s="275">
        <v>450</v>
      </c>
      <c r="H99" s="285" t="s">
        <v>397</v>
      </c>
      <c r="I99" s="285"/>
      <c r="J99" s="285"/>
      <c r="K99" s="285"/>
      <c r="L99" s="285"/>
      <c r="M99" s="285"/>
      <c r="N99" s="285"/>
      <c r="O99" s="285"/>
      <c r="P99" s="285"/>
      <c r="Q99" s="302"/>
    </row>
    <row r="100" spans="3:17" ht="15" thickBot="1" x14ac:dyDescent="0.35">
      <c r="C100" s="306"/>
      <c r="D100" s="310"/>
      <c r="E100" s="310"/>
      <c r="F100" s="310"/>
      <c r="G100" s="307"/>
      <c r="H100" s="307"/>
      <c r="I100" s="307"/>
      <c r="J100" s="307"/>
      <c r="K100" s="307"/>
      <c r="L100" s="307"/>
      <c r="M100" s="307"/>
      <c r="N100" s="307"/>
      <c r="O100" s="307"/>
      <c r="P100" s="307"/>
      <c r="Q100" s="308"/>
    </row>
    <row r="101" spans="3:17" ht="15" thickBot="1" x14ac:dyDescent="0.35">
      <c r="C101" s="263" t="s">
        <v>408</v>
      </c>
      <c r="D101" s="264"/>
      <c r="E101" s="264"/>
      <c r="F101" s="264"/>
      <c r="G101" s="264"/>
      <c r="H101" s="264"/>
      <c r="I101" s="264"/>
      <c r="J101" s="264"/>
      <c r="K101" s="266"/>
      <c r="L101" s="264"/>
      <c r="M101" s="264"/>
      <c r="N101" s="264"/>
      <c r="O101" s="264"/>
      <c r="P101" s="264"/>
      <c r="Q101" s="264"/>
    </row>
    <row r="102" spans="3:17" x14ac:dyDescent="0.3">
      <c r="C102" s="309"/>
      <c r="D102" s="285"/>
      <c r="E102" s="285"/>
      <c r="F102" s="285"/>
      <c r="G102" s="285"/>
      <c r="H102" s="285"/>
      <c r="I102" s="285"/>
      <c r="J102" s="285"/>
      <c r="K102" s="285"/>
      <c r="L102" s="285"/>
      <c r="M102" s="285"/>
      <c r="N102" s="285"/>
      <c r="O102" s="285"/>
      <c r="P102" s="285"/>
      <c r="Q102" s="302"/>
    </row>
    <row r="103" spans="3:17" x14ac:dyDescent="0.3">
      <c r="C103" s="271"/>
      <c r="D103" s="396">
        <f>Vragenlijst!E37</f>
        <v>0</v>
      </c>
      <c r="E103" s="285" t="s">
        <v>409</v>
      </c>
      <c r="F103" s="285"/>
      <c r="G103" s="303"/>
      <c r="H103" s="285"/>
      <c r="I103" s="285"/>
      <c r="L103" s="545">
        <f>Vragenlijst!E24/10000</f>
        <v>0</v>
      </c>
      <c r="M103" s="285" t="s">
        <v>410</v>
      </c>
      <c r="N103" s="285"/>
      <c r="O103" s="285"/>
      <c r="Q103" s="302"/>
    </row>
    <row r="104" spans="3:17" x14ac:dyDescent="0.3">
      <c r="C104" s="271"/>
      <c r="D104" s="674">
        <f>IF(D103&lt;50,D106,(IF(D103&lt;100,D107,IF(D103&lt;200,D108,(IF(D103&lt;300,D109,(IF(D103&lt;500,D110,IF(D103&lt;750,D111,IF(D103&lt;1000,D112,IF(D103&lt;2000,D113,IF(D103&lt;=5000,D114,D115))))))))))))*L104</f>
        <v>5</v>
      </c>
      <c r="E104" s="304" t="s">
        <v>411</v>
      </c>
      <c r="F104" s="285"/>
      <c r="G104" s="285"/>
      <c r="H104" s="285"/>
      <c r="L104" s="675">
        <f>1+(IF(L103&lt;10,L106,IF(AND(L103&gt;=10,L103&lt;20),L107,IF(AND(L103&gt;=20,L103&lt;30),L108,IF(AND(L103&gt;=30,L103&lt;40),L109,IF(AND(L103&gt;=40,L103&lt;50),L110,IF(AND(L103&gt;=50,L103&lt;60),L111,IF(AND(L103&gt;=60,L103&lt;80),L112,IF(AND(L103&gt;=80,L103&lt;100),L113,IF(AND(L103&gt;=100,L103&lt;150),L114,IF(L103&gt;=150,L115,"Fout")))))))))))</f>
        <v>1</v>
      </c>
      <c r="M104" s="436" t="s">
        <v>412</v>
      </c>
      <c r="N104" s="285"/>
      <c r="O104" s="285"/>
      <c r="Q104" s="302"/>
    </row>
    <row r="105" spans="3:17" x14ac:dyDescent="0.3">
      <c r="C105" s="271"/>
      <c r="D105" s="285"/>
      <c r="E105" s="285"/>
      <c r="F105" s="285"/>
      <c r="G105" s="285"/>
      <c r="H105" s="285"/>
      <c r="I105" s="285"/>
      <c r="L105" s="285"/>
      <c r="M105" s="285"/>
      <c r="N105" s="285"/>
      <c r="O105" s="285"/>
      <c r="Q105" s="302"/>
    </row>
    <row r="106" spans="3:17" x14ac:dyDescent="0.3">
      <c r="C106" s="271"/>
      <c r="D106" s="285">
        <v>5</v>
      </c>
      <c r="E106" s="285" t="s">
        <v>413</v>
      </c>
      <c r="F106" s="285"/>
      <c r="G106" s="285"/>
      <c r="H106" s="285"/>
      <c r="I106" s="285"/>
      <c r="L106" s="454">
        <v>0</v>
      </c>
      <c r="M106" s="285" t="s">
        <v>414</v>
      </c>
      <c r="N106" s="285"/>
      <c r="O106" s="285"/>
      <c r="Q106" s="302"/>
    </row>
    <row r="107" spans="3:17" x14ac:dyDescent="0.3">
      <c r="C107" s="271"/>
      <c r="D107" s="285">
        <v>4.5</v>
      </c>
      <c r="E107" s="285" t="s">
        <v>415</v>
      </c>
      <c r="F107" s="304"/>
      <c r="G107" s="285"/>
      <c r="H107" s="285"/>
      <c r="I107" s="285"/>
      <c r="L107" s="454">
        <v>0.1</v>
      </c>
      <c r="M107" s="285" t="s">
        <v>416</v>
      </c>
      <c r="N107" s="285"/>
      <c r="O107" s="285"/>
      <c r="Q107" s="302"/>
    </row>
    <row r="108" spans="3:17" x14ac:dyDescent="0.3">
      <c r="C108" s="271"/>
      <c r="D108" s="275">
        <v>4</v>
      </c>
      <c r="E108" s="285" t="s">
        <v>417</v>
      </c>
      <c r="F108" s="285"/>
      <c r="G108" s="285"/>
      <c r="H108" s="285"/>
      <c r="I108" s="285"/>
      <c r="L108" s="454">
        <v>0.15</v>
      </c>
      <c r="M108" s="285" t="s">
        <v>418</v>
      </c>
      <c r="N108" s="285"/>
      <c r="O108" s="285"/>
      <c r="Q108" s="302"/>
    </row>
    <row r="109" spans="3:17" x14ac:dyDescent="0.3">
      <c r="C109" s="271"/>
      <c r="D109" s="275">
        <v>3.5</v>
      </c>
      <c r="E109" s="285" t="s">
        <v>419</v>
      </c>
      <c r="F109" s="285"/>
      <c r="G109" s="285"/>
      <c r="H109" s="285"/>
      <c r="I109" s="285"/>
      <c r="L109" s="454">
        <v>0.2</v>
      </c>
      <c r="M109" s="285" t="s">
        <v>420</v>
      </c>
      <c r="N109" s="285"/>
      <c r="O109" s="285"/>
      <c r="Q109" s="302"/>
    </row>
    <row r="110" spans="3:17" x14ac:dyDescent="0.3">
      <c r="C110" s="271"/>
      <c r="D110" s="275">
        <v>3</v>
      </c>
      <c r="E110" s="285" t="s">
        <v>421</v>
      </c>
      <c r="F110" s="285"/>
      <c r="G110" s="285"/>
      <c r="H110" s="285"/>
      <c r="I110" s="285"/>
      <c r="L110" s="454">
        <v>0.25</v>
      </c>
      <c r="M110" s="285" t="s">
        <v>422</v>
      </c>
      <c r="N110" s="285"/>
      <c r="O110" s="285"/>
      <c r="Q110" s="302"/>
    </row>
    <row r="111" spans="3:17" x14ac:dyDescent="0.3">
      <c r="C111" s="271"/>
      <c r="D111" s="275">
        <v>2.5</v>
      </c>
      <c r="E111" s="285" t="s">
        <v>423</v>
      </c>
      <c r="F111" s="285"/>
      <c r="G111" s="285"/>
      <c r="H111" s="285"/>
      <c r="I111" s="285"/>
      <c r="L111" s="454">
        <v>0.3</v>
      </c>
      <c r="M111" s="285" t="s">
        <v>424</v>
      </c>
      <c r="N111" s="285"/>
      <c r="O111" s="285"/>
      <c r="Q111" s="302"/>
    </row>
    <row r="112" spans="3:17" x14ac:dyDescent="0.3">
      <c r="C112" s="271"/>
      <c r="D112" s="275">
        <v>2.25</v>
      </c>
      <c r="E112" s="285" t="s">
        <v>425</v>
      </c>
      <c r="F112" s="285"/>
      <c r="G112" s="285"/>
      <c r="H112" s="285"/>
      <c r="I112" s="285"/>
      <c r="L112" s="454">
        <v>0.35</v>
      </c>
      <c r="M112" s="285" t="s">
        <v>426</v>
      </c>
      <c r="N112" s="285"/>
      <c r="O112" s="285"/>
      <c r="Q112" s="302"/>
    </row>
    <row r="113" spans="3:17" x14ac:dyDescent="0.3">
      <c r="C113" s="271"/>
      <c r="D113" s="275">
        <v>2</v>
      </c>
      <c r="E113" s="285" t="s">
        <v>427</v>
      </c>
      <c r="F113" s="285"/>
      <c r="G113" s="285"/>
      <c r="H113" s="285"/>
      <c r="I113" s="285"/>
      <c r="L113" s="454">
        <v>0.4</v>
      </c>
      <c r="M113" s="285" t="s">
        <v>428</v>
      </c>
      <c r="N113" s="285"/>
      <c r="O113" s="285"/>
      <c r="Q113" s="302"/>
    </row>
    <row r="114" spans="3:17" x14ac:dyDescent="0.3">
      <c r="C114" s="271"/>
      <c r="D114" s="275">
        <v>1.75</v>
      </c>
      <c r="E114" s="285" t="s">
        <v>429</v>
      </c>
      <c r="F114" s="285"/>
      <c r="G114" s="285"/>
      <c r="H114" s="285"/>
      <c r="I114" s="285"/>
      <c r="L114" s="454">
        <v>0.45</v>
      </c>
      <c r="M114" s="285" t="s">
        <v>430</v>
      </c>
      <c r="N114" s="285"/>
      <c r="O114" s="285"/>
      <c r="Q114" s="302"/>
    </row>
    <row r="115" spans="3:17" x14ac:dyDescent="0.3">
      <c r="C115" s="271"/>
      <c r="D115" s="275">
        <v>1.5</v>
      </c>
      <c r="E115" s="285" t="s">
        <v>431</v>
      </c>
      <c r="F115" s="285"/>
      <c r="G115" s="285"/>
      <c r="H115" s="285"/>
      <c r="I115" s="285"/>
      <c r="L115" s="454">
        <v>0.5</v>
      </c>
      <c r="M115" s="285" t="s">
        <v>432</v>
      </c>
      <c r="N115" s="285"/>
      <c r="O115" s="285"/>
      <c r="Q115" s="302"/>
    </row>
    <row r="116" spans="3:17" x14ac:dyDescent="0.3">
      <c r="C116" s="271"/>
      <c r="D116" s="275"/>
      <c r="E116" s="285"/>
      <c r="F116" s="285"/>
      <c r="G116" s="285"/>
      <c r="H116" s="285"/>
      <c r="I116" s="285"/>
      <c r="M116" s="454"/>
      <c r="N116" s="285"/>
      <c r="O116" s="285"/>
      <c r="P116" s="285"/>
      <c r="Q116" s="302"/>
    </row>
    <row r="117" spans="3:17" x14ac:dyDescent="0.3">
      <c r="C117" s="271"/>
      <c r="D117" s="674">
        <f>IF(D103&lt;50,D119,(IF(D103&lt;100,D120,IF(D103&lt;200,D121,(IF(D103&lt;300,D122,(IF(D103&lt;500,D123,IF(D103&lt;750,D124,IF(D103&lt;1000,D125,IF(D103&lt;2000,D126,IF(D103&lt;=5000,D127,D128))))))))))))*L104</f>
        <v>3</v>
      </c>
      <c r="E117" s="304" t="s">
        <v>433</v>
      </c>
      <c r="F117" s="285"/>
      <c r="G117" s="285"/>
      <c r="H117" s="285"/>
      <c r="I117" s="285"/>
      <c r="M117" s="454"/>
      <c r="N117" s="285"/>
      <c r="O117" s="285"/>
      <c r="P117" s="285"/>
      <c r="Q117" s="302"/>
    </row>
    <row r="118" spans="3:17" x14ac:dyDescent="0.3">
      <c r="C118" s="271"/>
      <c r="D118" s="285"/>
      <c r="E118" s="285"/>
      <c r="F118" s="285"/>
      <c r="G118" s="285"/>
      <c r="H118" s="285"/>
      <c r="I118" s="285"/>
      <c r="M118" s="454"/>
      <c r="N118" s="285"/>
      <c r="O118" s="285"/>
      <c r="P118" s="285"/>
      <c r="Q118" s="302"/>
    </row>
    <row r="119" spans="3:17" x14ac:dyDescent="0.3">
      <c r="C119" s="271"/>
      <c r="D119" s="285">
        <v>3</v>
      </c>
      <c r="E119" s="285" t="s">
        <v>413</v>
      </c>
      <c r="F119" s="285"/>
      <c r="G119" s="285"/>
      <c r="H119" s="285"/>
      <c r="I119" s="285"/>
      <c r="J119" s="647"/>
      <c r="M119" s="454"/>
      <c r="N119" s="285"/>
      <c r="O119" s="285"/>
      <c r="P119" s="285"/>
      <c r="Q119" s="302"/>
    </row>
    <row r="120" spans="3:17" x14ac:dyDescent="0.3">
      <c r="C120" s="271"/>
      <c r="D120" s="285">
        <v>2.6999999999999997</v>
      </c>
      <c r="E120" s="285" t="s">
        <v>415</v>
      </c>
      <c r="F120" s="285"/>
      <c r="G120" s="285"/>
      <c r="H120" s="285"/>
      <c r="I120" s="285"/>
      <c r="M120" s="454"/>
      <c r="N120" s="285"/>
      <c r="O120" s="285"/>
      <c r="P120" s="285"/>
      <c r="Q120" s="302"/>
    </row>
    <row r="121" spans="3:17" x14ac:dyDescent="0.3">
      <c r="C121" s="271"/>
      <c r="D121" s="275">
        <v>2.4</v>
      </c>
      <c r="E121" s="285" t="s">
        <v>417</v>
      </c>
      <c r="F121" s="285"/>
      <c r="G121" s="285"/>
      <c r="H121" s="285"/>
      <c r="I121" s="285"/>
      <c r="M121" s="454"/>
      <c r="N121" s="285"/>
      <c r="O121" s="285"/>
      <c r="P121" s="285"/>
      <c r="Q121" s="302"/>
    </row>
    <row r="122" spans="3:17" x14ac:dyDescent="0.3">
      <c r="C122" s="271"/>
      <c r="D122" s="275">
        <v>2.1</v>
      </c>
      <c r="E122" s="285" t="s">
        <v>419</v>
      </c>
      <c r="F122" s="285"/>
      <c r="G122" s="285"/>
      <c r="H122" s="285"/>
      <c r="I122" s="285"/>
      <c r="M122" s="454"/>
      <c r="N122" s="285"/>
      <c r="O122" s="285"/>
      <c r="P122" s="285"/>
      <c r="Q122" s="302"/>
    </row>
    <row r="123" spans="3:17" x14ac:dyDescent="0.3">
      <c r="C123" s="271"/>
      <c r="D123" s="275">
        <v>1.7999999999999998</v>
      </c>
      <c r="E123" s="285" t="s">
        <v>421</v>
      </c>
      <c r="F123" s="285"/>
      <c r="G123" s="285"/>
      <c r="H123" s="285"/>
      <c r="I123" s="285"/>
      <c r="M123" s="454"/>
      <c r="N123" s="285"/>
      <c r="O123" s="285"/>
      <c r="P123" s="285"/>
      <c r="Q123" s="302"/>
    </row>
    <row r="124" spans="3:17" x14ac:dyDescent="0.3">
      <c r="C124" s="271"/>
      <c r="D124" s="275">
        <v>1.5</v>
      </c>
      <c r="E124" s="285" t="s">
        <v>423</v>
      </c>
      <c r="F124" s="285"/>
      <c r="G124" s="285"/>
      <c r="H124" s="285"/>
      <c r="I124" s="285"/>
      <c r="M124" s="454"/>
      <c r="N124" s="285"/>
      <c r="O124" s="285"/>
      <c r="P124" s="285"/>
      <c r="Q124" s="302"/>
    </row>
    <row r="125" spans="3:17" x14ac:dyDescent="0.3">
      <c r="C125" s="271"/>
      <c r="D125" s="275">
        <v>1.3499999999999999</v>
      </c>
      <c r="E125" s="285" t="s">
        <v>425</v>
      </c>
      <c r="F125" s="285"/>
      <c r="G125" s="285"/>
      <c r="H125" s="285"/>
      <c r="I125" s="285"/>
      <c r="M125" s="454"/>
      <c r="N125" s="285"/>
      <c r="O125" s="285"/>
      <c r="P125" s="285"/>
      <c r="Q125" s="302"/>
    </row>
    <row r="126" spans="3:17" x14ac:dyDescent="0.3">
      <c r="C126" s="271"/>
      <c r="D126" s="275">
        <v>1.2</v>
      </c>
      <c r="E126" s="285" t="s">
        <v>427</v>
      </c>
      <c r="F126" s="285"/>
      <c r="G126" s="285"/>
      <c r="H126" s="285"/>
      <c r="I126" s="285"/>
      <c r="M126" s="454"/>
      <c r="N126" s="285"/>
      <c r="O126" s="285"/>
      <c r="P126" s="285"/>
      <c r="Q126" s="302"/>
    </row>
    <row r="127" spans="3:17" x14ac:dyDescent="0.3">
      <c r="C127" s="271"/>
      <c r="D127" s="275">
        <v>1.05</v>
      </c>
      <c r="E127" s="285" t="s">
        <v>429</v>
      </c>
      <c r="F127" s="285"/>
      <c r="G127" s="285"/>
      <c r="H127" s="285"/>
      <c r="I127" s="285"/>
      <c r="M127" s="454"/>
      <c r="N127" s="285"/>
      <c r="O127" s="285"/>
      <c r="P127" s="285"/>
      <c r="Q127" s="302"/>
    </row>
    <row r="128" spans="3:17" x14ac:dyDescent="0.3">
      <c r="C128" s="271"/>
      <c r="D128" s="275">
        <v>0.89999999999999991</v>
      </c>
      <c r="E128" s="285" t="s">
        <v>431</v>
      </c>
      <c r="F128" s="285"/>
      <c r="G128" s="285"/>
      <c r="H128" s="285"/>
      <c r="I128" s="285"/>
      <c r="M128" s="454"/>
      <c r="N128" s="285"/>
      <c r="O128" s="285"/>
      <c r="P128" s="285"/>
      <c r="Q128" s="302"/>
    </row>
    <row r="129" spans="3:17" ht="15" thickBot="1" x14ac:dyDescent="0.35">
      <c r="C129" s="306"/>
      <c r="D129" s="310"/>
      <c r="E129" s="310"/>
      <c r="F129" s="310"/>
      <c r="G129" s="307"/>
      <c r="H129" s="307"/>
      <c r="I129" s="307"/>
      <c r="J129" s="307"/>
      <c r="K129" s="307"/>
      <c r="L129" s="307"/>
      <c r="M129" s="307"/>
      <c r="N129" s="307"/>
      <c r="O129" s="307"/>
      <c r="P129" s="307"/>
      <c r="Q129" s="308"/>
    </row>
    <row r="130" spans="3:17" ht="15" thickBot="1" x14ac:dyDescent="0.35">
      <c r="C130" s="263" t="s">
        <v>434</v>
      </c>
      <c r="D130" s="264"/>
      <c r="E130" s="264"/>
      <c r="F130" s="264"/>
      <c r="G130" s="264"/>
      <c r="H130" s="264"/>
      <c r="I130" s="264"/>
      <c r="J130" s="264"/>
      <c r="K130" s="266"/>
      <c r="L130" s="264"/>
      <c r="M130" s="264"/>
      <c r="N130" s="264"/>
      <c r="O130" s="264"/>
      <c r="P130" s="264"/>
      <c r="Q130" s="264"/>
    </row>
    <row r="131" spans="3:17" x14ac:dyDescent="0.3">
      <c r="C131" s="309"/>
      <c r="D131" s="285"/>
      <c r="E131" s="285"/>
      <c r="F131" s="285"/>
      <c r="G131" s="285"/>
      <c r="H131" s="285"/>
      <c r="I131" s="285"/>
      <c r="J131" s="285"/>
      <c r="K131" s="285"/>
      <c r="L131" s="285"/>
      <c r="M131" s="285"/>
      <c r="N131" s="285"/>
      <c r="O131" s="285"/>
      <c r="P131" s="285"/>
      <c r="Q131" s="302"/>
    </row>
    <row r="132" spans="3:17" x14ac:dyDescent="0.3">
      <c r="C132" s="271"/>
      <c r="D132" s="396">
        <f>Vragenlijst!E37</f>
        <v>0</v>
      </c>
      <c r="E132" s="285" t="s">
        <v>409</v>
      </c>
      <c r="F132" s="285"/>
      <c r="G132" s="303"/>
      <c r="H132" s="285"/>
      <c r="I132" s="285"/>
      <c r="J132" s="285"/>
      <c r="K132" s="285"/>
      <c r="L132" s="285"/>
      <c r="M132" s="285"/>
      <c r="N132" s="285"/>
      <c r="O132" s="285"/>
      <c r="P132" s="285"/>
      <c r="Q132" s="302"/>
    </row>
    <row r="133" spans="3:17" x14ac:dyDescent="0.3">
      <c r="C133" s="271"/>
      <c r="D133" s="674">
        <f>IF(D132&lt;50,D135,(IF(D132&lt;100,D136,IF(D132&lt;200,D137,(IF(D132&lt;300,D138,(IF(D132&lt;500,D139,IF(D132&lt;750,D140,IF(D132&lt;1000,D141,IF(D132&lt;2000,D142,IF(D132&lt;=5000,D143,D144))))))))))))</f>
        <v>2</v>
      </c>
      <c r="E133" s="304" t="s">
        <v>435</v>
      </c>
      <c r="F133" s="285"/>
      <c r="G133" s="285"/>
      <c r="H133" s="285"/>
      <c r="J133" s="674">
        <f>IF(D132&lt;50,J135,(IF(D132&lt;100,J136,IF(D132&lt;200,J137,(IF(D132&lt;300,J138,(IF(D132&lt;500,J139,IF(D132&lt;750,J140,IF(D132&lt;1000,J141,IF(D132&lt;2000,J142,IF(D132&lt;=5000,J143,J144))))))))))))</f>
        <v>1</v>
      </c>
      <c r="K133" s="304" t="s">
        <v>436</v>
      </c>
      <c r="L133" s="285"/>
      <c r="M133" s="285"/>
      <c r="N133" s="285"/>
      <c r="O133" s="285"/>
      <c r="P133" s="285"/>
      <c r="Q133" s="302"/>
    </row>
    <row r="134" spans="3:17" x14ac:dyDescent="0.3">
      <c r="C134" s="271"/>
      <c r="D134" s="285"/>
      <c r="E134" s="285"/>
      <c r="F134" s="285"/>
      <c r="G134" s="285"/>
      <c r="H134" s="285"/>
      <c r="J134" s="285"/>
      <c r="K134" s="285"/>
      <c r="L134" s="285"/>
      <c r="M134" s="285"/>
      <c r="N134" s="285"/>
      <c r="O134" s="285"/>
      <c r="P134" s="285"/>
      <c r="Q134" s="302"/>
    </row>
    <row r="135" spans="3:17" x14ac:dyDescent="0.3">
      <c r="C135" s="271"/>
      <c r="D135" s="285">
        <v>2</v>
      </c>
      <c r="E135" s="285" t="s">
        <v>413</v>
      </c>
      <c r="F135" s="285"/>
      <c r="G135" s="285"/>
      <c r="H135" s="285"/>
      <c r="J135" s="285">
        <v>1</v>
      </c>
      <c r="K135" s="285" t="s">
        <v>413</v>
      </c>
      <c r="L135" s="285"/>
      <c r="M135" s="285"/>
      <c r="N135" s="285"/>
      <c r="O135" s="285"/>
      <c r="P135" s="285"/>
      <c r="Q135" s="302"/>
    </row>
    <row r="136" spans="3:17" x14ac:dyDescent="0.3">
      <c r="C136" s="271"/>
      <c r="D136" s="285">
        <v>1.8</v>
      </c>
      <c r="E136" s="285" t="s">
        <v>415</v>
      </c>
      <c r="F136" s="304"/>
      <c r="G136" s="285"/>
      <c r="H136" s="285"/>
      <c r="J136" s="285">
        <v>0.9</v>
      </c>
      <c r="K136" s="285" t="s">
        <v>415</v>
      </c>
      <c r="L136" s="285"/>
      <c r="M136" s="285"/>
      <c r="N136" s="285"/>
      <c r="O136" s="285"/>
      <c r="P136" s="285"/>
      <c r="Q136" s="302"/>
    </row>
    <row r="137" spans="3:17" x14ac:dyDescent="0.3">
      <c r="C137" s="271"/>
      <c r="D137" s="275">
        <v>1.6</v>
      </c>
      <c r="E137" s="285" t="s">
        <v>417</v>
      </c>
      <c r="F137" s="285"/>
      <c r="G137" s="285"/>
      <c r="H137" s="285"/>
      <c r="J137" s="275">
        <v>0.8</v>
      </c>
      <c r="K137" s="285" t="s">
        <v>417</v>
      </c>
      <c r="L137" s="285"/>
      <c r="M137" s="285"/>
      <c r="N137" s="285"/>
      <c r="O137" s="285"/>
      <c r="P137" s="350"/>
      <c r="Q137" s="302"/>
    </row>
    <row r="138" spans="3:17" x14ac:dyDescent="0.3">
      <c r="C138" s="271"/>
      <c r="D138" s="275">
        <v>1.4</v>
      </c>
      <c r="E138" s="285" t="s">
        <v>419</v>
      </c>
      <c r="F138" s="285"/>
      <c r="G138" s="285"/>
      <c r="H138" s="285"/>
      <c r="J138" s="275">
        <v>0.7</v>
      </c>
      <c r="K138" s="285" t="s">
        <v>419</v>
      </c>
      <c r="L138" s="285"/>
      <c r="M138" s="285"/>
      <c r="N138" s="285"/>
      <c r="O138" s="285"/>
      <c r="P138" s="285"/>
      <c r="Q138" s="302"/>
    </row>
    <row r="139" spans="3:17" x14ac:dyDescent="0.3">
      <c r="C139" s="271"/>
      <c r="D139" s="275">
        <v>1.2</v>
      </c>
      <c r="E139" s="285" t="s">
        <v>421</v>
      </c>
      <c r="F139" s="285"/>
      <c r="G139" s="285"/>
      <c r="H139" s="285"/>
      <c r="J139" s="275">
        <v>0.6</v>
      </c>
      <c r="K139" s="285" t="s">
        <v>421</v>
      </c>
      <c r="L139" s="285"/>
      <c r="M139" s="285"/>
      <c r="N139" s="285"/>
      <c r="O139" s="285"/>
      <c r="P139" s="285"/>
      <c r="Q139" s="302"/>
    </row>
    <row r="140" spans="3:17" x14ac:dyDescent="0.3">
      <c r="C140" s="271"/>
      <c r="D140" s="275">
        <v>1</v>
      </c>
      <c r="E140" s="285" t="s">
        <v>423</v>
      </c>
      <c r="F140" s="285"/>
      <c r="G140" s="285"/>
      <c r="H140" s="285"/>
      <c r="J140" s="275">
        <v>0.5</v>
      </c>
      <c r="K140" s="285" t="s">
        <v>423</v>
      </c>
      <c r="L140" s="285"/>
      <c r="M140" s="285"/>
      <c r="N140" s="285"/>
      <c r="O140" s="285"/>
      <c r="P140" s="285"/>
      <c r="Q140" s="302"/>
    </row>
    <row r="141" spans="3:17" x14ac:dyDescent="0.3">
      <c r="C141" s="271"/>
      <c r="D141" s="275">
        <v>0.9</v>
      </c>
      <c r="E141" s="285" t="s">
        <v>425</v>
      </c>
      <c r="F141" s="285"/>
      <c r="G141" s="285"/>
      <c r="H141" s="285"/>
      <c r="J141" s="275">
        <v>0.45</v>
      </c>
      <c r="K141" s="285" t="s">
        <v>425</v>
      </c>
      <c r="L141" s="285"/>
      <c r="M141" s="285"/>
      <c r="N141" s="285"/>
      <c r="O141" s="285"/>
      <c r="P141" s="285"/>
      <c r="Q141" s="302"/>
    </row>
    <row r="142" spans="3:17" x14ac:dyDescent="0.3">
      <c r="C142" s="271"/>
      <c r="D142" s="275">
        <v>0.8</v>
      </c>
      <c r="E142" s="285" t="s">
        <v>427</v>
      </c>
      <c r="F142" s="285"/>
      <c r="G142" s="285"/>
      <c r="H142" s="285"/>
      <c r="J142" s="275">
        <v>0.4</v>
      </c>
      <c r="K142" s="285" t="s">
        <v>427</v>
      </c>
      <c r="L142" s="285"/>
      <c r="M142" s="285"/>
      <c r="N142" s="285"/>
      <c r="O142" s="285"/>
      <c r="P142" s="285"/>
      <c r="Q142" s="302"/>
    </row>
    <row r="143" spans="3:17" x14ac:dyDescent="0.3">
      <c r="C143" s="271"/>
      <c r="D143" s="275">
        <v>0.7</v>
      </c>
      <c r="E143" s="285" t="s">
        <v>429</v>
      </c>
      <c r="F143" s="285"/>
      <c r="G143" s="285"/>
      <c r="H143" s="285"/>
      <c r="J143" s="275">
        <v>0.35</v>
      </c>
      <c r="K143" s="285" t="s">
        <v>429</v>
      </c>
      <c r="L143" s="285"/>
      <c r="M143" s="285"/>
      <c r="N143" s="285"/>
      <c r="O143" s="285"/>
      <c r="P143" s="285"/>
      <c r="Q143" s="302"/>
    </row>
    <row r="144" spans="3:17" x14ac:dyDescent="0.3">
      <c r="C144" s="271"/>
      <c r="D144" s="275">
        <v>0.6</v>
      </c>
      <c r="E144" s="285" t="s">
        <v>431</v>
      </c>
      <c r="F144" s="285"/>
      <c r="G144" s="285"/>
      <c r="H144" s="285"/>
      <c r="J144" s="275">
        <v>0.3</v>
      </c>
      <c r="K144" s="285" t="s">
        <v>431</v>
      </c>
      <c r="L144" s="285"/>
      <c r="M144" s="285"/>
      <c r="N144" s="285"/>
      <c r="O144" s="285"/>
      <c r="P144" s="285"/>
      <c r="Q144" s="302"/>
    </row>
    <row r="145" spans="3:17" ht="15" thickBot="1" x14ac:dyDescent="0.35">
      <c r="C145" s="306"/>
      <c r="D145" s="310"/>
      <c r="E145" s="310"/>
      <c r="F145" s="310"/>
      <c r="G145" s="307"/>
      <c r="H145" s="307"/>
      <c r="I145" s="307"/>
      <c r="J145" s="307"/>
      <c r="K145" s="307"/>
      <c r="L145" s="307"/>
      <c r="M145" s="307"/>
      <c r="N145" s="307"/>
      <c r="O145" s="307"/>
      <c r="P145" s="307"/>
      <c r="Q145" s="308"/>
    </row>
    <row r="146" spans="3:17" ht="15" thickBot="1" x14ac:dyDescent="0.35">
      <c r="C146" s="263" t="s">
        <v>437</v>
      </c>
      <c r="D146" s="264"/>
      <c r="E146" s="264"/>
      <c r="F146" s="264"/>
      <c r="G146" s="264"/>
      <c r="H146" s="264"/>
      <c r="I146" s="264"/>
      <c r="J146" s="264"/>
      <c r="K146" s="266"/>
      <c r="L146" s="264"/>
      <c r="M146" s="264"/>
      <c r="N146" s="264"/>
      <c r="O146" s="264"/>
      <c r="P146" s="264"/>
      <c r="Q146" s="264"/>
    </row>
    <row r="147" spans="3:17" x14ac:dyDescent="0.3">
      <c r="C147" s="309"/>
      <c r="D147" s="285"/>
      <c r="E147" s="285"/>
      <c r="F147" s="285"/>
      <c r="G147" s="285"/>
      <c r="H147" s="285"/>
      <c r="I147" s="285"/>
      <c r="J147" s="285"/>
      <c r="K147" s="285"/>
      <c r="L147" s="285"/>
      <c r="M147" s="285"/>
      <c r="N147" s="285"/>
      <c r="O147" s="285"/>
      <c r="P147" s="285"/>
      <c r="Q147" s="302"/>
    </row>
    <row r="148" spans="3:17" x14ac:dyDescent="0.3">
      <c r="C148" s="271"/>
      <c r="D148" s="357">
        <f>Vragenlijst!$E$24/10000</f>
        <v>0</v>
      </c>
      <c r="E148" s="285" t="s">
        <v>386</v>
      </c>
      <c r="F148" s="285"/>
      <c r="G148" s="303"/>
      <c r="H148" s="285"/>
      <c r="I148" s="285"/>
      <c r="J148" s="285"/>
      <c r="K148" s="285"/>
      <c r="L148" s="285"/>
      <c r="M148" s="285"/>
      <c r="N148" s="285"/>
      <c r="O148" s="285"/>
      <c r="P148" s="285"/>
      <c r="Q148" s="302"/>
    </row>
    <row r="149" spans="3:17" x14ac:dyDescent="0.3">
      <c r="C149" s="271"/>
      <c r="D149" s="674">
        <f>IF(D148&lt;1,D151,(IF(D148&lt;5,D152,IF(D148&lt;15,D153,(IF(D148&lt;50,D154,IF(D148&lt;=100,D155,D156)))))))</f>
        <v>25</v>
      </c>
      <c r="E149" s="304" t="s">
        <v>438</v>
      </c>
      <c r="F149" s="285"/>
      <c r="G149" s="285"/>
      <c r="H149" s="285"/>
      <c r="I149" s="285"/>
      <c r="J149" s="285"/>
      <c r="K149" s="285"/>
      <c r="L149" s="285"/>
      <c r="M149" s="350"/>
      <c r="N149" s="285"/>
      <c r="O149" s="285"/>
      <c r="P149" s="285"/>
      <c r="Q149" s="302"/>
    </row>
    <row r="150" spans="3:17" x14ac:dyDescent="0.3">
      <c r="C150" s="271"/>
      <c r="D150" s="285"/>
      <c r="E150" s="285"/>
      <c r="F150" s="285"/>
      <c r="G150" s="285"/>
      <c r="H150" s="285"/>
      <c r="I150" s="285"/>
      <c r="J150" s="285"/>
      <c r="K150" s="285"/>
      <c r="L150" s="285"/>
      <c r="M150" s="285"/>
      <c r="N150" s="285"/>
      <c r="O150" s="285"/>
      <c r="P150" s="285"/>
      <c r="Q150" s="302"/>
    </row>
    <row r="151" spans="3:17" x14ac:dyDescent="0.3">
      <c r="C151" s="271"/>
      <c r="D151" s="285">
        <v>25</v>
      </c>
      <c r="E151" s="285" t="s">
        <v>439</v>
      </c>
      <c r="F151" s="285"/>
      <c r="G151" s="285"/>
      <c r="H151" s="285"/>
      <c r="I151" s="285"/>
      <c r="J151" s="285"/>
      <c r="K151" s="285"/>
      <c r="L151" s="285"/>
      <c r="M151" s="285"/>
      <c r="N151" s="285"/>
      <c r="O151" s="285"/>
      <c r="P151" s="285"/>
      <c r="Q151" s="302"/>
    </row>
    <row r="152" spans="3:17" x14ac:dyDescent="0.3">
      <c r="C152" s="271"/>
      <c r="D152" s="285">
        <v>50</v>
      </c>
      <c r="E152" s="285" t="s">
        <v>440</v>
      </c>
      <c r="F152" s="304"/>
      <c r="G152" s="285"/>
      <c r="H152" s="285"/>
      <c r="I152" s="285"/>
      <c r="J152" s="285"/>
      <c r="K152" s="285"/>
      <c r="L152" s="285"/>
      <c r="M152" s="285"/>
      <c r="N152" s="285"/>
      <c r="O152" s="285"/>
      <c r="P152" s="285"/>
      <c r="Q152" s="302"/>
    </row>
    <row r="153" spans="3:17" x14ac:dyDescent="0.3">
      <c r="C153" s="271"/>
      <c r="D153" s="275">
        <v>75</v>
      </c>
      <c r="E153" s="285" t="s">
        <v>441</v>
      </c>
      <c r="F153" s="285"/>
      <c r="G153" s="285"/>
      <c r="H153" s="285"/>
      <c r="I153" s="285"/>
      <c r="J153" s="285"/>
      <c r="K153" s="285"/>
      <c r="L153" s="285"/>
      <c r="M153" s="285"/>
      <c r="N153" s="285"/>
      <c r="O153" s="285"/>
      <c r="P153" s="285"/>
      <c r="Q153" s="302"/>
    </row>
    <row r="154" spans="3:17" x14ac:dyDescent="0.3">
      <c r="C154" s="271"/>
      <c r="D154" s="275">
        <v>100</v>
      </c>
      <c r="E154" s="285" t="s">
        <v>442</v>
      </c>
      <c r="F154" s="285"/>
      <c r="G154" s="285"/>
      <c r="H154" s="285"/>
      <c r="I154" s="285"/>
      <c r="J154" s="285"/>
      <c r="K154" s="285"/>
      <c r="L154" s="285"/>
      <c r="M154" s="285"/>
      <c r="N154" s="285"/>
      <c r="O154" s="285"/>
      <c r="P154" s="285"/>
      <c r="Q154" s="302"/>
    </row>
    <row r="155" spans="3:17" x14ac:dyDescent="0.3">
      <c r="C155" s="271"/>
      <c r="D155" s="275">
        <v>125</v>
      </c>
      <c r="E155" s="285" t="s">
        <v>443</v>
      </c>
      <c r="F155" s="285"/>
      <c r="G155" s="285"/>
      <c r="H155" s="285"/>
      <c r="I155" s="285"/>
      <c r="J155" s="285"/>
      <c r="K155" s="285"/>
      <c r="L155" s="285"/>
      <c r="M155" s="285"/>
      <c r="N155" s="285"/>
      <c r="O155" s="285"/>
      <c r="P155" s="285"/>
      <c r="Q155" s="302"/>
    </row>
    <row r="156" spans="3:17" x14ac:dyDescent="0.3">
      <c r="C156" s="271"/>
      <c r="D156" s="275">
        <v>150</v>
      </c>
      <c r="E156" s="285" t="s">
        <v>444</v>
      </c>
      <c r="F156" s="285"/>
      <c r="G156" s="285"/>
      <c r="H156" s="285"/>
      <c r="I156" s="285"/>
      <c r="J156" s="285"/>
      <c r="K156" s="285"/>
      <c r="L156" s="285"/>
      <c r="M156" s="285"/>
      <c r="N156" s="285"/>
      <c r="O156" s="285"/>
      <c r="P156" s="285"/>
      <c r="Q156" s="302"/>
    </row>
    <row r="157" spans="3:17" ht="15" thickBot="1" x14ac:dyDescent="0.35">
      <c r="C157" s="306"/>
      <c r="D157" s="310"/>
      <c r="E157" s="310"/>
      <c r="F157" s="310"/>
      <c r="G157" s="307"/>
      <c r="H157" s="307"/>
      <c r="I157" s="307"/>
      <c r="J157" s="307"/>
      <c r="K157" s="307"/>
      <c r="L157" s="307"/>
      <c r="M157" s="307"/>
      <c r="N157" s="307"/>
      <c r="O157" s="307"/>
      <c r="P157" s="307"/>
      <c r="Q157" s="308"/>
    </row>
    <row r="158" spans="3:17" ht="15" thickBot="1" x14ac:dyDescent="0.35">
      <c r="C158" s="263" t="s">
        <v>445</v>
      </c>
      <c r="D158" s="264"/>
      <c r="E158" s="264"/>
      <c r="F158" s="264"/>
      <c r="G158" s="264"/>
      <c r="H158" s="264"/>
      <c r="I158" s="264"/>
      <c r="J158" s="264"/>
      <c r="K158" s="266"/>
      <c r="L158" s="264"/>
      <c r="M158" s="264"/>
      <c r="N158" s="264"/>
      <c r="O158" s="264"/>
      <c r="P158" s="264"/>
      <c r="Q158" s="264"/>
    </row>
    <row r="159" spans="3:17" x14ac:dyDescent="0.3">
      <c r="C159" s="309"/>
      <c r="D159" s="285"/>
      <c r="E159" s="285"/>
      <c r="F159" s="285"/>
      <c r="G159" s="285"/>
      <c r="H159" s="285"/>
      <c r="I159" s="285"/>
      <c r="J159" s="285"/>
      <c r="K159" s="285"/>
      <c r="L159" s="285"/>
      <c r="M159" s="285"/>
      <c r="N159" s="285"/>
      <c r="O159" s="285"/>
      <c r="P159" s="285"/>
      <c r="Q159" s="302"/>
    </row>
    <row r="160" spans="3:17" x14ac:dyDescent="0.3">
      <c r="C160" s="271"/>
      <c r="D160" s="357">
        <f>Vragenlijst!$E$24/10000</f>
        <v>0</v>
      </c>
      <c r="E160" s="285" t="s">
        <v>386</v>
      </c>
      <c r="F160" s="285"/>
      <c r="G160" s="303"/>
      <c r="H160" s="285"/>
      <c r="I160" s="285"/>
      <c r="J160" s="285"/>
      <c r="K160" s="285"/>
      <c r="L160" s="285"/>
      <c r="M160" s="285"/>
      <c r="N160" s="285"/>
      <c r="O160" s="285"/>
      <c r="P160" s="285"/>
      <c r="Q160" s="302"/>
    </row>
    <row r="161" spans="3:17" x14ac:dyDescent="0.3">
      <c r="C161" s="271"/>
      <c r="D161" s="674">
        <f>IF(D160&lt;1,D163,(IF(D160&lt;5,D164,IF(D160&lt;15,D165,(IF(D160&lt;50,D166,IF(D160&lt;=120,D167,D168)))))))</f>
        <v>40</v>
      </c>
      <c r="E161" s="304" t="s">
        <v>446</v>
      </c>
      <c r="F161" s="285"/>
      <c r="G161" s="350"/>
      <c r="H161" s="285"/>
      <c r="I161" s="285"/>
      <c r="J161" s="285"/>
      <c r="K161" s="285"/>
      <c r="L161" s="285"/>
      <c r="M161" s="285"/>
      <c r="N161" s="285"/>
      <c r="O161" s="285"/>
      <c r="P161" s="285"/>
      <c r="Q161" s="302"/>
    </row>
    <row r="162" spans="3:17" x14ac:dyDescent="0.3">
      <c r="C162" s="271"/>
      <c r="D162" s="285"/>
      <c r="E162" s="285"/>
      <c r="F162" s="285"/>
      <c r="G162" s="285"/>
      <c r="H162" s="285"/>
      <c r="I162" s="285"/>
      <c r="J162" s="285"/>
      <c r="K162" s="285"/>
      <c r="L162" s="285"/>
      <c r="M162" s="285"/>
      <c r="N162" s="285"/>
      <c r="O162" s="285"/>
      <c r="P162" s="285"/>
      <c r="Q162" s="302"/>
    </row>
    <row r="163" spans="3:17" x14ac:dyDescent="0.3">
      <c r="C163" s="271"/>
      <c r="D163" s="285">
        <v>40</v>
      </c>
      <c r="E163" s="285" t="s">
        <v>439</v>
      </c>
      <c r="F163" s="285"/>
      <c r="G163" s="285"/>
      <c r="H163" s="285"/>
      <c r="I163" s="285"/>
      <c r="J163" s="285"/>
      <c r="K163" s="285"/>
      <c r="L163" s="285"/>
      <c r="M163" s="285"/>
      <c r="N163" s="285"/>
      <c r="O163" s="285"/>
      <c r="P163" s="285"/>
      <c r="Q163" s="302"/>
    </row>
    <row r="164" spans="3:17" x14ac:dyDescent="0.3">
      <c r="C164" s="271"/>
      <c r="D164" s="285">
        <v>60</v>
      </c>
      <c r="E164" s="285" t="s">
        <v>440</v>
      </c>
      <c r="F164" s="304"/>
      <c r="G164" s="285"/>
      <c r="H164" s="285"/>
      <c r="I164" s="285"/>
      <c r="J164" s="285"/>
      <c r="K164" s="285"/>
      <c r="L164" s="285"/>
      <c r="M164" s="285"/>
      <c r="N164" s="285"/>
      <c r="O164" s="285"/>
      <c r="P164" s="285"/>
      <c r="Q164" s="302"/>
    </row>
    <row r="165" spans="3:17" x14ac:dyDescent="0.3">
      <c r="C165" s="271"/>
      <c r="D165" s="275">
        <v>80</v>
      </c>
      <c r="E165" s="285" t="s">
        <v>441</v>
      </c>
      <c r="F165" s="285"/>
      <c r="G165" s="285"/>
      <c r="H165" s="285"/>
      <c r="I165" s="285"/>
      <c r="J165" s="285"/>
      <c r="K165" s="285"/>
      <c r="L165" s="285"/>
      <c r="M165" s="285"/>
      <c r="N165" s="285"/>
      <c r="O165" s="285"/>
      <c r="P165" s="285"/>
      <c r="Q165" s="302"/>
    </row>
    <row r="166" spans="3:17" x14ac:dyDescent="0.3">
      <c r="C166" s="271"/>
      <c r="D166" s="275">
        <v>100</v>
      </c>
      <c r="E166" s="285" t="s">
        <v>442</v>
      </c>
      <c r="F166" s="285"/>
      <c r="G166" s="285"/>
      <c r="H166" s="285"/>
      <c r="I166" s="285"/>
      <c r="J166" s="285"/>
      <c r="K166" s="285"/>
      <c r="L166" s="285"/>
      <c r="M166" s="285"/>
      <c r="N166" s="285"/>
      <c r="O166" s="285"/>
      <c r="P166" s="285"/>
      <c r="Q166" s="302"/>
    </row>
    <row r="167" spans="3:17" x14ac:dyDescent="0.3">
      <c r="C167" s="271"/>
      <c r="D167" s="275">
        <v>120</v>
      </c>
      <c r="E167" s="285" t="s">
        <v>447</v>
      </c>
      <c r="F167" s="285"/>
      <c r="G167" s="285"/>
      <c r="H167" s="285"/>
      <c r="I167" s="285"/>
      <c r="J167" s="285"/>
      <c r="K167" s="285"/>
      <c r="L167" s="285"/>
      <c r="M167" s="285"/>
      <c r="N167" s="285"/>
      <c r="O167" s="285"/>
      <c r="P167" s="285"/>
      <c r="Q167" s="302"/>
    </row>
    <row r="168" spans="3:17" x14ac:dyDescent="0.3">
      <c r="C168" s="271"/>
      <c r="D168" s="275">
        <v>140</v>
      </c>
      <c r="E168" s="285" t="s">
        <v>448</v>
      </c>
      <c r="F168" s="285"/>
      <c r="G168" s="285"/>
      <c r="H168" s="285"/>
      <c r="I168" s="285"/>
      <c r="J168" s="285"/>
      <c r="K168" s="285"/>
      <c r="L168" s="285"/>
      <c r="M168" s="285"/>
      <c r="N168" s="285"/>
      <c r="O168" s="285"/>
      <c r="P168" s="285"/>
      <c r="Q168" s="302"/>
    </row>
    <row r="169" spans="3:17" ht="15" thickBot="1" x14ac:dyDescent="0.35">
      <c r="C169" s="306"/>
      <c r="D169" s="310"/>
      <c r="E169" s="310"/>
      <c r="F169" s="310"/>
      <c r="G169" s="307"/>
      <c r="H169" s="307"/>
      <c r="I169" s="307"/>
      <c r="J169" s="307"/>
      <c r="K169" s="307"/>
      <c r="L169" s="307"/>
      <c r="M169" s="307"/>
      <c r="N169" s="307"/>
      <c r="O169" s="307"/>
      <c r="P169" s="307"/>
      <c r="Q169" s="308"/>
    </row>
    <row r="170" spans="3:17" ht="15" thickBot="1" x14ac:dyDescent="0.35">
      <c r="C170" s="263" t="s">
        <v>449</v>
      </c>
      <c r="D170" s="264"/>
      <c r="E170" s="264"/>
      <c r="F170" s="264"/>
      <c r="G170" s="264"/>
      <c r="H170" s="264"/>
      <c r="I170" s="264"/>
      <c r="J170" s="264"/>
      <c r="K170" s="266"/>
      <c r="L170" s="264"/>
      <c r="M170" s="264"/>
      <c r="N170" s="264"/>
      <c r="O170" s="264"/>
      <c r="P170" s="264"/>
      <c r="Q170" s="265"/>
    </row>
    <row r="171" spans="3:17" x14ac:dyDescent="0.3">
      <c r="C171" s="271" t="s">
        <v>450</v>
      </c>
      <c r="D171" s="268"/>
      <c r="E171" s="268"/>
      <c r="F171" s="268"/>
      <c r="G171" s="268"/>
      <c r="H171" s="268"/>
      <c r="I171" s="268"/>
      <c r="J171" s="268"/>
      <c r="K171" s="268"/>
      <c r="L171" s="268"/>
      <c r="M171" s="268"/>
      <c r="N171" s="268"/>
      <c r="O171" s="268"/>
      <c r="P171" s="268"/>
      <c r="Q171" s="270"/>
    </row>
    <row r="172" spans="3:17" x14ac:dyDescent="0.3">
      <c r="C172" s="271"/>
      <c r="D172" s="268"/>
      <c r="E172" s="268"/>
      <c r="F172" s="268"/>
      <c r="G172" s="268"/>
      <c r="H172" s="268"/>
      <c r="I172" s="268"/>
      <c r="J172" s="268"/>
      <c r="K172" s="268"/>
      <c r="L172" s="268"/>
      <c r="M172" s="268"/>
      <c r="N172" s="268"/>
      <c r="O172" s="268"/>
      <c r="P172" s="268"/>
      <c r="Q172" s="270"/>
    </row>
    <row r="173" spans="3:17" x14ac:dyDescent="0.3">
      <c r="C173" s="271"/>
      <c r="D173" s="268"/>
      <c r="E173" s="654">
        <f>Uurtarieven!C17</f>
        <v>13587</v>
      </c>
      <c r="F173" s="268" t="s">
        <v>332</v>
      </c>
      <c r="G173" s="277" t="s">
        <v>451</v>
      </c>
      <c r="H173" s="268"/>
      <c r="I173" s="268"/>
      <c r="J173" s="268"/>
      <c r="K173" s="268"/>
      <c r="L173" s="268"/>
      <c r="M173" s="268"/>
      <c r="N173" s="268"/>
      <c r="O173" s="268"/>
      <c r="P173" s="268"/>
      <c r="Q173" s="270"/>
    </row>
    <row r="174" spans="3:17" x14ac:dyDescent="0.3">
      <c r="C174" s="271"/>
      <c r="D174" s="268"/>
      <c r="E174" s="654">
        <f>Uurtarieven!C18</f>
        <v>6794</v>
      </c>
      <c r="F174" s="268" t="s">
        <v>349</v>
      </c>
      <c r="G174" s="277" t="s">
        <v>452</v>
      </c>
      <c r="H174" s="268"/>
      <c r="I174" s="268"/>
      <c r="J174" s="268"/>
      <c r="K174" s="268"/>
      <c r="L174" s="268"/>
      <c r="M174" s="268"/>
      <c r="N174" s="268"/>
      <c r="O174" s="268"/>
      <c r="P174" s="268"/>
      <c r="Q174" s="270"/>
    </row>
    <row r="175" spans="3:17" x14ac:dyDescent="0.3">
      <c r="C175" s="271"/>
      <c r="D175" s="268"/>
      <c r="E175" s="268"/>
      <c r="F175" s="268"/>
      <c r="G175" s="268"/>
      <c r="H175" s="268"/>
      <c r="I175" s="268"/>
      <c r="J175" s="268"/>
      <c r="K175" s="268"/>
      <c r="L175" s="268"/>
      <c r="M175" s="268"/>
      <c r="N175" s="268"/>
      <c r="O175" s="268"/>
      <c r="P175" s="268"/>
      <c r="Q175" s="270"/>
    </row>
    <row r="176" spans="3:17" x14ac:dyDescent="0.3">
      <c r="C176" s="271"/>
      <c r="D176" s="268"/>
      <c r="E176" s="268"/>
      <c r="F176" s="397" t="s">
        <v>453</v>
      </c>
      <c r="G176" s="398"/>
      <c r="H176" s="398"/>
      <c r="I176" s="398"/>
      <c r="J176" s="399"/>
      <c r="K176" s="397" t="s">
        <v>454</v>
      </c>
      <c r="L176" s="398"/>
      <c r="M176" s="399"/>
      <c r="N176" s="397" t="s">
        <v>455</v>
      </c>
      <c r="O176" s="398"/>
      <c r="P176" s="399"/>
      <c r="Q176" s="270"/>
    </row>
    <row r="177" spans="3:17" x14ac:dyDescent="0.3">
      <c r="C177" s="271"/>
      <c r="D177" s="268"/>
      <c r="E177" s="268"/>
      <c r="F177" s="296" t="s">
        <v>456</v>
      </c>
      <c r="G177" s="290"/>
      <c r="H177" s="290" t="s">
        <v>457</v>
      </c>
      <c r="I177" s="290"/>
      <c r="J177" s="293" t="s">
        <v>458</v>
      </c>
      <c r="K177" s="296" t="s">
        <v>459</v>
      </c>
      <c r="L177" s="290" t="s">
        <v>460</v>
      </c>
      <c r="M177" s="293" t="s">
        <v>461</v>
      </c>
      <c r="N177" s="296" t="s">
        <v>459</v>
      </c>
      <c r="O177" s="290" t="s">
        <v>460</v>
      </c>
      <c r="P177" s="293" t="s">
        <v>461</v>
      </c>
      <c r="Q177" s="270"/>
    </row>
    <row r="178" spans="3:17" x14ac:dyDescent="0.3">
      <c r="C178" s="271"/>
      <c r="D178" s="268"/>
      <c r="E178" s="268"/>
      <c r="F178" s="397">
        <v>0</v>
      </c>
      <c r="G178" s="398" t="s">
        <v>322</v>
      </c>
      <c r="H178" s="398">
        <v>10</v>
      </c>
      <c r="I178" s="398" t="s">
        <v>322</v>
      </c>
      <c r="J178" s="401">
        <v>1</v>
      </c>
      <c r="K178" s="406">
        <f>E173*(1+E195)</f>
        <v>13587</v>
      </c>
      <c r="L178" s="404">
        <f>K178</f>
        <v>13587</v>
      </c>
      <c r="M178" s="413">
        <f>CEILING(L178/H178,25)</f>
        <v>1375</v>
      </c>
      <c r="N178" s="406">
        <f>E174</f>
        <v>6794</v>
      </c>
      <c r="O178" s="404">
        <f>N178</f>
        <v>6794</v>
      </c>
      <c r="P178" s="399">
        <f>CEILING(O178/H178,25)</f>
        <v>700</v>
      </c>
      <c r="Q178" s="270"/>
    </row>
    <row r="179" spans="3:17" x14ac:dyDescent="0.3">
      <c r="C179" s="271"/>
      <c r="D179" s="268"/>
      <c r="E179" s="268"/>
      <c r="F179" s="400">
        <f>H178</f>
        <v>10</v>
      </c>
      <c r="G179" s="268" t="s">
        <v>322</v>
      </c>
      <c r="H179" s="268">
        <v>15</v>
      </c>
      <c r="I179" s="268" t="s">
        <v>322</v>
      </c>
      <c r="J179" s="402">
        <v>0.9</v>
      </c>
      <c r="K179" s="407">
        <f>L178</f>
        <v>13587</v>
      </c>
      <c r="L179" s="286">
        <f>H179*J179*$M$178</f>
        <v>18562.5</v>
      </c>
      <c r="M179" s="413">
        <f t="shared" ref="M179:M181" si="3">CEILING(L179/H179,25)</f>
        <v>1250</v>
      </c>
      <c r="N179" s="407">
        <f>O178</f>
        <v>6794</v>
      </c>
      <c r="O179" s="286">
        <f>H179*J179*$P$178</f>
        <v>9450</v>
      </c>
      <c r="P179" s="287">
        <f>CEILING(O179/H179,25)</f>
        <v>650</v>
      </c>
      <c r="Q179" s="270"/>
    </row>
    <row r="180" spans="3:17" x14ac:dyDescent="0.3">
      <c r="C180" s="271"/>
      <c r="D180" s="268"/>
      <c r="E180" s="268"/>
      <c r="F180" s="400">
        <f>H179</f>
        <v>15</v>
      </c>
      <c r="G180" s="268" t="s">
        <v>322</v>
      </c>
      <c r="H180" s="268">
        <v>50</v>
      </c>
      <c r="I180" s="268" t="s">
        <v>322</v>
      </c>
      <c r="J180" s="402">
        <v>0.75</v>
      </c>
      <c r="K180" s="407">
        <f>L179</f>
        <v>18562.5</v>
      </c>
      <c r="L180" s="286">
        <f t="shared" ref="L180:L181" si="4">H180*J180*$M$178</f>
        <v>51562.5</v>
      </c>
      <c r="M180" s="413">
        <f t="shared" si="3"/>
        <v>1050</v>
      </c>
      <c r="N180" s="407">
        <f>O179</f>
        <v>9450</v>
      </c>
      <c r="O180" s="286">
        <f t="shared" ref="O180:O181" si="5">H180*J180*$P$178</f>
        <v>26250</v>
      </c>
      <c r="P180" s="287">
        <f>CEILING(O180/H180,25)</f>
        <v>525</v>
      </c>
      <c r="Q180" s="270"/>
    </row>
    <row r="181" spans="3:17" x14ac:dyDescent="0.3">
      <c r="C181" s="271"/>
      <c r="D181" s="268"/>
      <c r="E181" s="268"/>
      <c r="F181" s="296">
        <f>H180</f>
        <v>50</v>
      </c>
      <c r="G181" s="290" t="s">
        <v>322</v>
      </c>
      <c r="H181" s="290">
        <v>100</v>
      </c>
      <c r="I181" s="290" t="s">
        <v>322</v>
      </c>
      <c r="J181" s="403">
        <v>0.5</v>
      </c>
      <c r="K181" s="408">
        <f>L180</f>
        <v>51562.5</v>
      </c>
      <c r="L181" s="405">
        <f t="shared" si="4"/>
        <v>68750</v>
      </c>
      <c r="M181" s="414">
        <f t="shared" si="3"/>
        <v>700</v>
      </c>
      <c r="N181" s="408">
        <f>O180</f>
        <v>26250</v>
      </c>
      <c r="O181" s="405">
        <f t="shared" si="5"/>
        <v>35000</v>
      </c>
      <c r="P181" s="293">
        <f>CEILING(O181/H181,25)</f>
        <v>350</v>
      </c>
      <c r="Q181" s="270"/>
    </row>
    <row r="182" spans="3:17" x14ac:dyDescent="0.3">
      <c r="C182" s="271"/>
      <c r="D182" s="285" t="s">
        <v>350</v>
      </c>
      <c r="E182" s="297">
        <f>Uurtarieven!C19</f>
        <v>2718</v>
      </c>
      <c r="F182" s="268" t="s">
        <v>461</v>
      </c>
      <c r="G182" s="268"/>
      <c r="H182" s="268"/>
      <c r="I182" s="268"/>
      <c r="J182" s="268"/>
      <c r="K182" s="268"/>
      <c r="L182" s="268"/>
      <c r="M182" s="268"/>
      <c r="N182" s="268"/>
      <c r="O182" s="268"/>
      <c r="P182" s="268"/>
      <c r="Q182" s="270"/>
    </row>
    <row r="183" spans="3:17" x14ac:dyDescent="0.3">
      <c r="C183" s="271"/>
      <c r="D183" s="285" t="s">
        <v>351</v>
      </c>
      <c r="E183" s="297">
        <f>Uurtarieven!C20</f>
        <v>1699</v>
      </c>
      <c r="F183" s="268" t="s">
        <v>462</v>
      </c>
      <c r="G183" s="268"/>
      <c r="H183" s="268"/>
      <c r="I183" s="268"/>
      <c r="J183" s="268"/>
      <c r="K183" s="268"/>
      <c r="L183" s="268"/>
      <c r="M183" s="268"/>
      <c r="N183" s="268"/>
      <c r="O183" s="268"/>
      <c r="P183" s="268"/>
      <c r="Q183" s="270"/>
    </row>
    <row r="184" spans="3:17" x14ac:dyDescent="0.3">
      <c r="C184" s="271"/>
      <c r="D184" s="285" t="s">
        <v>352</v>
      </c>
      <c r="E184" s="297">
        <f>Uurtarieven!C21</f>
        <v>679</v>
      </c>
      <c r="F184" s="268" t="s">
        <v>461</v>
      </c>
      <c r="G184" s="268"/>
      <c r="H184" s="268"/>
      <c r="I184" s="268"/>
      <c r="J184" s="268"/>
      <c r="K184" s="268"/>
      <c r="L184" s="268"/>
      <c r="M184" s="268"/>
      <c r="N184" s="268"/>
      <c r="O184" s="268"/>
      <c r="P184" s="268"/>
      <c r="Q184" s="270"/>
    </row>
    <row r="185" spans="3:17" x14ac:dyDescent="0.3">
      <c r="C185" s="271"/>
      <c r="D185" s="285" t="s">
        <v>308</v>
      </c>
      <c r="E185" s="655">
        <f>(10*10000*Vragenlijst!E120)/$E$191/5*(Uurtarieven!F7*4)</f>
        <v>0</v>
      </c>
      <c r="F185" s="268" t="s">
        <v>463</v>
      </c>
      <c r="G185" s="268"/>
      <c r="H185" s="268"/>
      <c r="I185" s="268"/>
      <c r="J185" s="268"/>
      <c r="K185" s="268"/>
      <c r="L185" s="268"/>
      <c r="M185" s="268"/>
      <c r="N185" s="268"/>
      <c r="O185" s="268"/>
      <c r="P185" s="268"/>
      <c r="Q185" s="270"/>
    </row>
    <row r="186" spans="3:17" ht="15" thickBot="1" x14ac:dyDescent="0.35">
      <c r="C186" s="271"/>
      <c r="D186" s="285" t="s">
        <v>353</v>
      </c>
      <c r="E186" s="656">
        <f>(10*10000*Vragenlijst!E120)/$E$191/5*(Uurtarieven!F8*4)</f>
        <v>0</v>
      </c>
      <c r="F186" s="268" t="s">
        <v>463</v>
      </c>
      <c r="G186" s="268"/>
      <c r="H186" s="268"/>
      <c r="I186" s="268"/>
      <c r="J186" s="268"/>
      <c r="K186" s="268"/>
      <c r="L186" s="268"/>
      <c r="M186" s="268"/>
      <c r="N186" s="268"/>
      <c r="O186" s="268"/>
      <c r="P186" s="268"/>
      <c r="Q186" s="270"/>
    </row>
    <row r="187" spans="3:17" ht="15" thickTop="1" x14ac:dyDescent="0.3">
      <c r="C187" s="412" t="s">
        <v>464</v>
      </c>
      <c r="D187" s="411"/>
      <c r="E187" s="298">
        <f>SUM(E173:E186)</f>
        <v>25477</v>
      </c>
      <c r="F187" s="268" t="s">
        <v>465</v>
      </c>
      <c r="G187" s="268"/>
      <c r="H187" s="268"/>
      <c r="I187" s="268"/>
      <c r="J187" s="268"/>
      <c r="K187" s="268"/>
      <c r="L187" s="268"/>
      <c r="M187" s="268"/>
      <c r="N187" s="268"/>
      <c r="O187" s="268"/>
      <c r="P187" s="268"/>
      <c r="Q187" s="270"/>
    </row>
    <row r="188" spans="3:17" x14ac:dyDescent="0.3">
      <c r="C188" s="271"/>
      <c r="D188" s="268"/>
      <c r="E188" s="268"/>
      <c r="F188" s="268"/>
      <c r="G188" s="268"/>
      <c r="H188" s="268"/>
      <c r="I188" s="268"/>
      <c r="J188" s="268"/>
      <c r="K188" s="268"/>
      <c r="L188" s="268"/>
      <c r="M188" s="268"/>
      <c r="N188" s="268"/>
      <c r="O188" s="268"/>
      <c r="P188" s="268"/>
      <c r="Q188" s="270"/>
    </row>
    <row r="189" spans="3:17" x14ac:dyDescent="0.3">
      <c r="C189" s="412" t="s">
        <v>466</v>
      </c>
      <c r="D189" s="268"/>
      <c r="E189" s="268"/>
      <c r="F189" s="268"/>
      <c r="G189" s="268"/>
      <c r="H189" s="268"/>
      <c r="I189" s="268"/>
      <c r="J189" s="268"/>
      <c r="K189" s="268"/>
      <c r="L189" s="268"/>
      <c r="M189" s="268"/>
      <c r="N189" s="268"/>
      <c r="O189" s="268"/>
      <c r="P189" s="268"/>
      <c r="Q189" s="270"/>
    </row>
    <row r="190" spans="3:17" x14ac:dyDescent="0.3">
      <c r="C190" s="717" t="s">
        <v>467</v>
      </c>
      <c r="D190" s="718"/>
      <c r="E190" s="276">
        <f>IF(Vragenlijst!E118=0,0,(Vragenlijst!E24/10000)/Vragenlijst!E118)</f>
        <v>0</v>
      </c>
      <c r="F190" s="268" t="s">
        <v>322</v>
      </c>
      <c r="G190" s="268"/>
      <c r="H190" s="268"/>
      <c r="I190" s="268"/>
      <c r="J190" s="268"/>
      <c r="K190" s="268"/>
      <c r="L190" s="268"/>
      <c r="M190" s="268"/>
      <c r="N190" s="268"/>
      <c r="O190" s="268"/>
      <c r="P190" s="268"/>
      <c r="Q190" s="270"/>
    </row>
    <row r="191" spans="3:17" x14ac:dyDescent="0.3">
      <c r="C191" s="717" t="s">
        <v>468</v>
      </c>
      <c r="D191" s="718"/>
      <c r="E191" s="276">
        <v>1000</v>
      </c>
      <c r="F191" s="268" t="s">
        <v>469</v>
      </c>
      <c r="G191" s="268"/>
      <c r="H191" s="268"/>
      <c r="I191" s="268"/>
      <c r="J191" s="268"/>
      <c r="K191" s="268"/>
      <c r="L191" s="268"/>
      <c r="M191" s="268"/>
      <c r="N191" s="268"/>
      <c r="O191" s="268"/>
      <c r="P191" s="268"/>
      <c r="Q191" s="270"/>
    </row>
    <row r="192" spans="3:17" x14ac:dyDescent="0.3">
      <c r="C192" s="717" t="s">
        <v>470</v>
      </c>
      <c r="D192" s="718"/>
      <c r="E192" s="276">
        <v>4</v>
      </c>
      <c r="F192" s="268"/>
      <c r="G192" s="268"/>
      <c r="H192" s="268"/>
      <c r="I192" s="268"/>
      <c r="J192" s="268"/>
      <c r="K192" s="268"/>
      <c r="L192" s="268"/>
      <c r="M192" s="268"/>
      <c r="N192" s="268"/>
      <c r="O192" s="268"/>
      <c r="P192" s="268"/>
      <c r="Q192" s="270"/>
    </row>
    <row r="193" spans="3:17" x14ac:dyDescent="0.3">
      <c r="C193" s="717" t="s">
        <v>471</v>
      </c>
      <c r="D193" s="718"/>
      <c r="E193" s="276">
        <v>4</v>
      </c>
      <c r="F193" s="268"/>
      <c r="G193" s="268"/>
      <c r="H193" s="268"/>
      <c r="I193" s="268"/>
      <c r="J193" s="268"/>
      <c r="K193" s="268"/>
      <c r="L193" s="268"/>
      <c r="M193" s="268"/>
      <c r="N193" s="268"/>
      <c r="O193" s="268"/>
      <c r="P193" s="268"/>
      <c r="Q193" s="270"/>
    </row>
    <row r="194" spans="3:17" x14ac:dyDescent="0.3">
      <c r="C194" s="717" t="s">
        <v>472</v>
      </c>
      <c r="D194" s="718"/>
      <c r="E194" s="300">
        <f>IF(Vragenlijst!E13='Drop Down '!B2,35%,0%)</f>
        <v>0.35</v>
      </c>
      <c r="F194" s="268" t="s">
        <v>473</v>
      </c>
      <c r="G194" s="268"/>
      <c r="H194" s="268"/>
      <c r="I194" s="268"/>
      <c r="J194" s="268"/>
      <c r="K194" s="268"/>
      <c r="L194" s="268"/>
      <c r="M194" s="268"/>
      <c r="N194" s="268"/>
      <c r="O194" s="268"/>
      <c r="P194" s="268"/>
      <c r="Q194" s="270"/>
    </row>
    <row r="195" spans="3:17" x14ac:dyDescent="0.3">
      <c r="C195" s="717" t="s">
        <v>474</v>
      </c>
      <c r="D195" s="718"/>
      <c r="E195" s="409">
        <f>IF(Vragenlijst!E13='Drop Down '!B2,IF(Vragenlijst!E116="Partieel",50%,0%),0%)</f>
        <v>0</v>
      </c>
      <c r="F195" s="268" t="s">
        <v>475</v>
      </c>
      <c r="G195" s="268"/>
      <c r="H195" s="268"/>
      <c r="I195" s="268"/>
      <c r="J195" s="268"/>
      <c r="L195" s="268"/>
      <c r="M195" s="268"/>
      <c r="N195" s="268"/>
      <c r="O195" s="268"/>
      <c r="P195" s="268"/>
      <c r="Q195" s="270"/>
    </row>
    <row r="196" spans="3:17" x14ac:dyDescent="0.3">
      <c r="C196" s="271"/>
      <c r="D196" s="409"/>
      <c r="E196" s="268"/>
      <c r="F196" s="268"/>
      <c r="G196" s="268"/>
      <c r="H196" s="268"/>
      <c r="I196" s="268"/>
      <c r="J196" s="268"/>
      <c r="K196" s="459"/>
      <c r="L196" s="268"/>
      <c r="M196" s="268"/>
      <c r="N196" s="268"/>
      <c r="O196" s="268"/>
      <c r="P196" s="268"/>
      <c r="Q196" s="270"/>
    </row>
    <row r="197" spans="3:17" x14ac:dyDescent="0.3">
      <c r="C197" s="412" t="s">
        <v>476</v>
      </c>
      <c r="D197" s="409"/>
      <c r="E197" s="268"/>
      <c r="F197" s="268"/>
      <c r="G197" s="268"/>
      <c r="H197" s="451"/>
      <c r="I197" s="451"/>
      <c r="J197" s="451"/>
      <c r="K197" s="459"/>
      <c r="L197" s="268"/>
      <c r="M197" s="268"/>
      <c r="N197" s="268"/>
      <c r="O197" s="268"/>
      <c r="P197" s="268"/>
      <c r="Q197" s="270"/>
    </row>
    <row r="198" spans="3:17" x14ac:dyDescent="0.3">
      <c r="C198" s="271"/>
      <c r="D198" s="415" t="s">
        <v>332</v>
      </c>
      <c r="E198" s="416">
        <f>IF(E190&lt;=$H$178,$L$178,IF(AND(E190&gt;$F$179,E190&lt;=$H$179),IF($M$179*E190&lt;$K$179,$K$179,$M$179*E190),IF(AND(E190&gt;$F$180,E190&lt;=$H$180),IF($M$180*E190&lt;$K$180,$K$180,$M$180*E190),IF(E190&gt;E190,IF(IF($M$181*E190&lt;$K$181,$K$181,$M$181*E190)&gt;$L$181,$L$181,IF($M$181*E190&lt;$K$181,$K$181,$M$181*E190)),0))))*Vragenlijst!E118</f>
        <v>0</v>
      </c>
      <c r="F198" s="268"/>
      <c r="G198" s="268"/>
      <c r="H198" s="351"/>
      <c r="I198" s="351"/>
      <c r="J198" s="452"/>
      <c r="K198" s="268"/>
      <c r="L198" s="268"/>
      <c r="M198" s="268"/>
      <c r="N198" s="268"/>
      <c r="O198" s="268"/>
      <c r="P198" s="268"/>
      <c r="Q198" s="270"/>
    </row>
    <row r="199" spans="3:17" x14ac:dyDescent="0.3">
      <c r="C199" s="271"/>
      <c r="D199" s="415" t="s">
        <v>349</v>
      </c>
      <c r="E199" s="416">
        <f>IF(E190&lt;=$H$178,$O$178,IF(AND(E190&gt;$F$179,E190&lt;=$H$179),IF($P$179*E190&lt;$N$179,$N$179,$P$179*E190),IF(AND(E190&gt;$F$180,E190&lt;=$H$180),IF($P$180*E190&lt;$N$180,$N$180,$P$180*E190),IF(E190&gt;F181,IF(IF($P$181*E190&lt;$N$181,$N$181,$P$181*E190)&gt;$O$181,$O$181,IF($P$181*E190&lt;$N$181,$N$181,$P$181*E190)),0))))*Vragenlijst!E118</f>
        <v>0</v>
      </c>
      <c r="F199" s="268"/>
      <c r="G199" s="268"/>
      <c r="H199" s="351"/>
      <c r="I199" s="351"/>
      <c r="J199" s="452"/>
      <c r="K199" s="268"/>
      <c r="L199" s="268"/>
      <c r="M199" s="268"/>
      <c r="N199" s="268"/>
      <c r="O199" s="268"/>
      <c r="P199" s="268"/>
      <c r="Q199" s="270"/>
    </row>
    <row r="200" spans="3:17" x14ac:dyDescent="0.3">
      <c r="C200" s="271"/>
      <c r="D200" s="415" t="s">
        <v>350</v>
      </c>
      <c r="E200" s="598">
        <f>IF(E182*(Vragenlijst!E24/10000)*IF(Vragenlijst!E116="partieel",E194,1)&lt;Uurtarieven!$C$24,Uurtarieven!$C$24,E182*(Vragenlijst!E24/10000)*IF(Vragenlijst!E116="partieel",E194,1))</f>
        <v>5436</v>
      </c>
      <c r="F200" s="599"/>
      <c r="G200" s="599"/>
      <c r="H200" s="600"/>
      <c r="I200" s="351"/>
      <c r="J200" s="452"/>
      <c r="K200" s="268"/>
      <c r="L200" s="268"/>
      <c r="M200" s="268"/>
      <c r="N200" s="268"/>
      <c r="O200" s="268"/>
      <c r="P200" s="268"/>
      <c r="Q200" s="270"/>
    </row>
    <row r="201" spans="3:17" x14ac:dyDescent="0.3">
      <c r="C201" s="271"/>
      <c r="D201" s="415" t="s">
        <v>351</v>
      </c>
      <c r="E201" s="598">
        <f>IF(E183*Vragenlijst!E119*(Vragenlijst!E24/10000)*IF(Vragenlijst!E116="partieel",E194,1)&lt;Uurtarieven!$C$25,Uurtarieven!$C$25,(Vragenlijst!E24/10000)*Vragenlijst!E119*E183*IF(Vragenlijst!E116="partieel",E194,1))</f>
        <v>3398</v>
      </c>
      <c r="F201" s="599"/>
      <c r="G201" s="599"/>
      <c r="H201" s="600"/>
      <c r="I201" s="351"/>
      <c r="J201" s="452"/>
      <c r="K201" s="268"/>
      <c r="L201" s="268"/>
      <c r="M201" s="268"/>
      <c r="N201" s="268"/>
      <c r="O201" s="268"/>
      <c r="P201" s="268"/>
      <c r="Q201" s="270"/>
    </row>
    <row r="202" spans="3:17" x14ac:dyDescent="0.3">
      <c r="C202" s="271"/>
      <c r="D202" s="415" t="s">
        <v>352</v>
      </c>
      <c r="E202" s="598">
        <f>IF(E184*(Vragenlijst!E24/10000)*IF(Vragenlijst!E116="partieel",E194,1)&lt;Uurtarieven!$C$26,Uurtarieven!$C$26,E184*(Vragenlijst!E24/10000)*IF(Vragenlijst!E116="partieel",E194,1))</f>
        <v>1358</v>
      </c>
      <c r="F202" s="599"/>
      <c r="G202" s="599"/>
      <c r="H202" s="600"/>
      <c r="I202" s="351"/>
      <c r="J202" s="452"/>
      <c r="K202" s="268"/>
      <c r="L202" s="268"/>
      <c r="M202" s="268"/>
      <c r="N202" s="268"/>
      <c r="O202" s="268"/>
      <c r="P202" s="268"/>
      <c r="Q202" s="270"/>
    </row>
    <row r="203" spans="3:17" x14ac:dyDescent="0.3">
      <c r="C203" s="271"/>
      <c r="D203" s="415" t="s">
        <v>308</v>
      </c>
      <c r="E203" s="416">
        <f>((((Vragenlijst!E24/10000)*IF(Vragenlijst!E116="partieel",E194,1)*Vragenlijst!E120*10000/E191)/5)*Uurtarieven!F7*E192)</f>
        <v>0</v>
      </c>
      <c r="F203" s="268"/>
      <c r="G203" s="268"/>
      <c r="H203" s="268"/>
      <c r="I203" s="268"/>
      <c r="J203" s="268"/>
      <c r="K203" s="268"/>
      <c r="L203" s="268"/>
      <c r="M203" s="268"/>
      <c r="N203" s="268"/>
      <c r="O203" s="268"/>
      <c r="P203" s="268"/>
      <c r="Q203" s="270"/>
    </row>
    <row r="204" spans="3:17" x14ac:dyDescent="0.3">
      <c r="C204" s="271"/>
      <c r="D204" s="415" t="s">
        <v>353</v>
      </c>
      <c r="E204" s="416">
        <f>(((Vragenlijst!E24/10000)*IF(Vragenlijst!E116="partieel",E194,1)*Vragenlijst!E120*10000/E191/5)*Uurtarieven!F8*E193)</f>
        <v>0</v>
      </c>
      <c r="F204" s="268"/>
      <c r="G204" s="268"/>
      <c r="H204" s="268"/>
      <c r="I204" s="268"/>
      <c r="J204" s="268"/>
      <c r="K204" s="268"/>
      <c r="L204" s="268"/>
      <c r="M204" s="268"/>
      <c r="N204" s="268"/>
      <c r="O204" s="268"/>
      <c r="P204" s="268"/>
      <c r="Q204" s="270"/>
    </row>
    <row r="205" spans="3:17" x14ac:dyDescent="0.3">
      <c r="C205" s="410" t="s">
        <v>477</v>
      </c>
      <c r="D205" s="268"/>
      <c r="E205" s="417">
        <f>SUM(E198:E204)</f>
        <v>10192</v>
      </c>
      <c r="F205" s="268"/>
      <c r="G205" s="268"/>
      <c r="H205" s="268"/>
      <c r="I205" s="268"/>
      <c r="J205" s="268"/>
      <c r="K205" s="268"/>
      <c r="L205" s="268"/>
      <c r="M205" s="268"/>
      <c r="N205" s="268"/>
      <c r="O205" s="268"/>
      <c r="P205" s="268"/>
      <c r="Q205" s="270"/>
    </row>
    <row r="206" spans="3:17" x14ac:dyDescent="0.3">
      <c r="C206" s="271"/>
      <c r="D206" s="268"/>
      <c r="E206" s="268"/>
      <c r="F206" s="268"/>
      <c r="G206" s="268"/>
      <c r="H206" s="268"/>
      <c r="I206" s="268"/>
      <c r="J206" s="268"/>
      <c r="K206" s="268"/>
      <c r="L206" s="268"/>
      <c r="M206" s="268"/>
      <c r="N206" s="268"/>
      <c r="O206" s="268"/>
      <c r="P206" s="268"/>
      <c r="Q206" s="270"/>
    </row>
    <row r="207" spans="3:17" x14ac:dyDescent="0.3">
      <c r="C207" s="271"/>
      <c r="D207" s="268"/>
      <c r="E207" s="268"/>
      <c r="F207" s="268"/>
      <c r="G207" s="268"/>
      <c r="H207" s="268"/>
      <c r="I207" s="268"/>
      <c r="J207" s="268"/>
      <c r="K207" s="268"/>
      <c r="L207" s="268"/>
      <c r="M207" s="268"/>
      <c r="N207" s="268"/>
      <c r="O207" s="268"/>
      <c r="P207" s="268"/>
      <c r="Q207" s="270"/>
    </row>
    <row r="208" spans="3:17" ht="15" thickBot="1" x14ac:dyDescent="0.35">
      <c r="C208" s="315"/>
      <c r="D208" s="310"/>
      <c r="E208" s="310"/>
      <c r="F208" s="310"/>
      <c r="G208" s="310"/>
      <c r="H208" s="310"/>
      <c r="I208" s="310"/>
      <c r="J208" s="310"/>
      <c r="K208" s="310"/>
      <c r="L208" s="310"/>
      <c r="M208" s="310"/>
      <c r="N208" s="310"/>
      <c r="O208" s="310"/>
      <c r="P208" s="310"/>
      <c r="Q208" s="311"/>
    </row>
    <row r="209" spans="3:17" ht="15" thickBot="1" x14ac:dyDescent="0.35">
      <c r="C209" s="263" t="s">
        <v>478</v>
      </c>
      <c r="D209" s="264"/>
      <c r="E209" s="264"/>
      <c r="F209" s="264"/>
      <c r="G209" s="264"/>
      <c r="H209" s="264"/>
      <c r="I209" s="264"/>
      <c r="J209" s="264"/>
      <c r="K209" s="266"/>
      <c r="L209" s="264"/>
      <c r="M209" s="264"/>
      <c r="N209" s="264"/>
      <c r="O209" s="264"/>
      <c r="P209" s="264"/>
      <c r="Q209" s="264"/>
    </row>
    <row r="210" spans="3:17" x14ac:dyDescent="0.3">
      <c r="C210" s="309"/>
      <c r="D210" s="285"/>
      <c r="E210" s="285"/>
      <c r="F210" s="285"/>
      <c r="G210" s="285"/>
      <c r="H210" s="285"/>
      <c r="I210" s="285"/>
      <c r="J210" s="285"/>
      <c r="K210" s="285"/>
      <c r="L210" s="285"/>
      <c r="M210" s="285"/>
      <c r="N210" s="285"/>
      <c r="O210" s="285"/>
      <c r="P210" s="285"/>
      <c r="Q210" s="302"/>
    </row>
    <row r="211" spans="3:17" x14ac:dyDescent="0.3">
      <c r="C211" s="271"/>
      <c r="D211" s="285" t="s">
        <v>479</v>
      </c>
      <c r="E211" s="357" t="str">
        <f>Vragenlijst!E27</f>
        <v>[Selecteer type]</v>
      </c>
      <c r="F211" s="285"/>
      <c r="G211" s="303"/>
      <c r="H211" s="285"/>
      <c r="I211" s="285"/>
      <c r="J211" s="285"/>
      <c r="K211" s="285"/>
      <c r="L211" s="285"/>
      <c r="M211" s="285"/>
      <c r="N211" s="285"/>
      <c r="O211" s="285"/>
      <c r="P211" s="285"/>
      <c r="Q211" s="302"/>
    </row>
    <row r="212" spans="3:17" x14ac:dyDescent="0.3">
      <c r="C212" s="271"/>
      <c r="D212" s="675">
        <f>IF(E211=E214,D214,IF(E211=E215,D215,IF(E211=E216,D216,IF(E211=E217,D217,IF(E211=E218,D218,0)))))</f>
        <v>0</v>
      </c>
      <c r="E212" s="304" t="s">
        <v>480</v>
      </c>
      <c r="F212" s="285"/>
      <c r="G212" s="285"/>
      <c r="H212" s="285"/>
      <c r="I212" s="285"/>
      <c r="J212" s="285"/>
      <c r="K212" s="285"/>
      <c r="L212" s="285"/>
      <c r="M212" s="285"/>
      <c r="N212" s="285"/>
      <c r="O212" s="285"/>
      <c r="P212" s="285"/>
      <c r="Q212" s="302"/>
    </row>
    <row r="213" spans="3:17" x14ac:dyDescent="0.3">
      <c r="C213" s="271"/>
      <c r="D213" s="285"/>
      <c r="F213" s="285"/>
      <c r="G213" s="285"/>
      <c r="H213" s="285"/>
      <c r="I213" s="285"/>
      <c r="J213" s="285"/>
      <c r="K213" s="285"/>
      <c r="L213" s="285"/>
      <c r="M213" s="285"/>
      <c r="N213" s="285"/>
      <c r="O213" s="285"/>
      <c r="P213" s="285"/>
      <c r="Q213" s="302"/>
    </row>
    <row r="214" spans="3:17" x14ac:dyDescent="0.3">
      <c r="C214" s="271"/>
      <c r="D214" s="454">
        <v>0.2</v>
      </c>
      <c r="E214" s="304" t="s">
        <v>481</v>
      </c>
      <c r="F214" s="285"/>
      <c r="G214" s="285"/>
      <c r="H214" s="285"/>
      <c r="I214" s="285"/>
      <c r="J214" s="285"/>
      <c r="K214" s="285"/>
      <c r="L214" s="285"/>
      <c r="M214" s="285"/>
      <c r="N214" s="285"/>
      <c r="O214" s="285"/>
      <c r="P214" s="285"/>
      <c r="Q214" s="302"/>
    </row>
    <row r="215" spans="3:17" x14ac:dyDescent="0.3">
      <c r="C215" s="271"/>
      <c r="D215" s="454">
        <v>0.1</v>
      </c>
      <c r="E215" s="304" t="s">
        <v>482</v>
      </c>
      <c r="G215" s="285"/>
      <c r="H215" s="285"/>
      <c r="I215" s="285"/>
      <c r="J215" s="285"/>
      <c r="K215" s="285"/>
      <c r="L215" s="285"/>
      <c r="M215" s="285"/>
      <c r="N215" s="285"/>
      <c r="O215" s="285"/>
      <c r="P215" s="285"/>
      <c r="Q215" s="302"/>
    </row>
    <row r="216" spans="3:17" x14ac:dyDescent="0.3">
      <c r="C216" s="271"/>
      <c r="D216" s="415">
        <v>0.05</v>
      </c>
      <c r="E216" s="304" t="s">
        <v>483</v>
      </c>
      <c r="F216" s="285"/>
      <c r="G216" s="285"/>
      <c r="H216" s="285"/>
      <c r="I216" s="285"/>
      <c r="J216" s="285"/>
      <c r="K216" s="285"/>
      <c r="L216" s="285"/>
      <c r="M216" s="285"/>
      <c r="N216" s="285"/>
      <c r="O216" s="285"/>
      <c r="P216" s="285"/>
      <c r="Q216" s="302"/>
    </row>
    <row r="217" spans="3:17" x14ac:dyDescent="0.3">
      <c r="C217" s="271"/>
      <c r="D217" s="415">
        <v>0</v>
      </c>
      <c r="E217" s="304" t="s">
        <v>484</v>
      </c>
      <c r="F217" s="285"/>
      <c r="G217" s="285"/>
      <c r="H217" s="285"/>
      <c r="I217" s="285"/>
      <c r="J217" s="285"/>
      <c r="K217" s="285"/>
      <c r="L217" s="285"/>
      <c r="M217" s="285"/>
      <c r="N217" s="285"/>
      <c r="O217" s="285"/>
      <c r="P217" s="285"/>
      <c r="Q217" s="302"/>
    </row>
    <row r="218" spans="3:17" x14ac:dyDescent="0.3">
      <c r="C218" s="271"/>
      <c r="D218" s="415">
        <v>0</v>
      </c>
      <c r="E218" s="304" t="s">
        <v>485</v>
      </c>
      <c r="G218" s="285"/>
      <c r="H218" s="285"/>
      <c r="I218" s="285"/>
      <c r="J218" s="285"/>
      <c r="K218" s="285"/>
      <c r="L218" s="285"/>
      <c r="M218" s="285"/>
      <c r="N218" s="285"/>
      <c r="O218" s="285"/>
      <c r="P218" s="285"/>
      <c r="Q218" s="302"/>
    </row>
    <row r="219" spans="3:17" ht="15" thickBot="1" x14ac:dyDescent="0.35">
      <c r="C219" s="306"/>
      <c r="D219" s="310"/>
      <c r="E219" s="310"/>
      <c r="F219" s="310"/>
      <c r="G219" s="307"/>
      <c r="H219" s="307"/>
      <c r="I219" s="307"/>
      <c r="J219" s="307"/>
      <c r="K219" s="307"/>
      <c r="L219" s="307"/>
      <c r="M219" s="307"/>
      <c r="N219" s="307"/>
      <c r="O219" s="307"/>
      <c r="P219" s="307"/>
      <c r="Q219" s="308"/>
    </row>
    <row r="220" spans="3:17" ht="15" thickBot="1" x14ac:dyDescent="0.35">
      <c r="C220" s="263" t="s">
        <v>486</v>
      </c>
      <c r="D220" s="264"/>
      <c r="E220" s="264"/>
      <c r="F220" s="264"/>
      <c r="G220" s="264"/>
      <c r="H220" s="264"/>
      <c r="I220" s="264"/>
      <c r="J220" s="264"/>
      <c r="K220" s="266"/>
      <c r="L220" s="264"/>
      <c r="M220" s="264"/>
      <c r="N220" s="264"/>
      <c r="O220" s="264"/>
      <c r="P220" s="264"/>
      <c r="Q220" s="264"/>
    </row>
    <row r="221" spans="3:17" x14ac:dyDescent="0.3">
      <c r="C221" s="309"/>
      <c r="D221" s="285"/>
      <c r="E221" s="285"/>
      <c r="F221" s="285"/>
      <c r="G221" s="285"/>
      <c r="H221" s="285"/>
      <c r="I221" s="285"/>
      <c r="J221" s="285"/>
      <c r="K221" s="285"/>
      <c r="L221" s="285"/>
      <c r="M221" s="285"/>
      <c r="N221" s="285"/>
      <c r="O221" s="285"/>
      <c r="P221" s="285"/>
      <c r="Q221" s="302"/>
    </row>
    <row r="222" spans="3:17" x14ac:dyDescent="0.3">
      <c r="C222" s="271"/>
      <c r="D222" s="285" t="s">
        <v>487</v>
      </c>
      <c r="E222" s="357" t="str">
        <f>Vragenlijst!E34</f>
        <v>[Selecteer keuze]</v>
      </c>
      <c r="G222" s="303"/>
      <c r="H222" s="285"/>
      <c r="I222" s="285"/>
      <c r="J222" s="285"/>
      <c r="K222" s="285"/>
      <c r="L222" s="285"/>
      <c r="M222" s="285"/>
      <c r="N222" s="285"/>
      <c r="O222" s="285"/>
      <c r="P222" s="285"/>
      <c r="Q222" s="302"/>
    </row>
    <row r="223" spans="3:17" x14ac:dyDescent="0.3">
      <c r="C223" s="271"/>
      <c r="D223" s="675">
        <f>IF(E222=E225,D225,IF(E222=E226,D226,IF(E222=E227,D227,IF(E222=E228,D228,IF(E222=E229,D229,0)))))</f>
        <v>0</v>
      </c>
      <c r="E223" s="304" t="s">
        <v>480</v>
      </c>
      <c r="F223" s="285"/>
      <c r="G223" s="285"/>
      <c r="H223" s="285"/>
      <c r="I223" s="285"/>
      <c r="J223" s="285"/>
      <c r="K223" s="285"/>
      <c r="L223" s="285"/>
      <c r="M223" s="285"/>
      <c r="N223" s="285"/>
      <c r="O223" s="285"/>
      <c r="P223" s="285"/>
      <c r="Q223" s="302"/>
    </row>
    <row r="224" spans="3:17" x14ac:dyDescent="0.3">
      <c r="C224" s="271"/>
      <c r="D224" s="285"/>
      <c r="E224" s="285"/>
      <c r="F224" s="285"/>
      <c r="G224" s="285"/>
      <c r="H224" s="285"/>
      <c r="I224" s="285"/>
      <c r="J224" s="285"/>
      <c r="K224" s="285"/>
      <c r="L224" s="285"/>
      <c r="M224" s="285"/>
      <c r="N224" s="285"/>
      <c r="O224" s="285"/>
      <c r="P224" s="285"/>
      <c r="Q224" s="302"/>
    </row>
    <row r="225" spans="3:17" x14ac:dyDescent="0.3">
      <c r="C225" s="271"/>
      <c r="D225" s="454">
        <v>0</v>
      </c>
      <c r="E225" t="str">
        <f>'Drop Down '!B28</f>
        <v>Nee, het betreft geen herstructurerings/transformatie opgave</v>
      </c>
      <c r="F225" s="285"/>
      <c r="G225" s="285"/>
      <c r="H225" s="285"/>
      <c r="I225" s="285"/>
      <c r="J225" s="285"/>
      <c r="K225" s="285"/>
      <c r="L225" s="285"/>
      <c r="M225" s="285"/>
      <c r="N225" s="285"/>
      <c r="O225" s="285"/>
      <c r="P225" s="285"/>
      <c r="Q225" s="302"/>
    </row>
    <row r="226" spans="3:17" x14ac:dyDescent="0.3">
      <c r="C226" s="271"/>
      <c r="D226" s="454">
        <v>0.1</v>
      </c>
      <c r="E226" t="str">
        <f>'Drop Down '!B29</f>
        <v>Ja, tot 25% van het bestaand openbaar gebied wordt herverkaveld</v>
      </c>
      <c r="F226" s="304"/>
      <c r="G226" s="285"/>
      <c r="H226" s="285"/>
      <c r="I226" s="285"/>
      <c r="J226" s="285"/>
      <c r="K226" s="285"/>
      <c r="L226" s="285"/>
      <c r="M226" s="285"/>
      <c r="N226" s="285"/>
      <c r="O226" s="285"/>
      <c r="P226" s="285"/>
      <c r="Q226" s="302"/>
    </row>
    <row r="227" spans="3:17" x14ac:dyDescent="0.3">
      <c r="C227" s="271"/>
      <c r="D227" s="415">
        <v>0.15</v>
      </c>
      <c r="E227" t="str">
        <f>'Drop Down '!B30</f>
        <v>Ja, 25% tot 50% van het bestaand openbaar gebied wordt herverkaveld</v>
      </c>
      <c r="F227" s="285"/>
      <c r="G227" s="285"/>
      <c r="H227" s="285"/>
      <c r="I227" s="285"/>
      <c r="J227" s="285"/>
      <c r="K227" s="285"/>
      <c r="L227" s="285"/>
      <c r="M227" s="285"/>
      <c r="N227" s="285"/>
      <c r="O227" s="285"/>
      <c r="P227" s="285"/>
      <c r="Q227" s="302"/>
    </row>
    <row r="228" spans="3:17" x14ac:dyDescent="0.3">
      <c r="C228" s="271"/>
      <c r="D228" s="415">
        <v>0.2</v>
      </c>
      <c r="E228" t="str">
        <f>'Drop Down '!B31</f>
        <v>Ja, 50% tot 75% van het bestaand openbaar gebied wordt herverkaveld</v>
      </c>
      <c r="F228" s="285"/>
      <c r="G228" s="285"/>
      <c r="H228" s="285"/>
      <c r="I228" s="285"/>
      <c r="J228" s="285"/>
      <c r="K228" s="285"/>
      <c r="L228" s="285"/>
      <c r="M228" s="285"/>
      <c r="N228" s="285"/>
      <c r="O228" s="285"/>
      <c r="P228" s="285"/>
      <c r="Q228" s="302"/>
    </row>
    <row r="229" spans="3:17" x14ac:dyDescent="0.3">
      <c r="C229" s="271"/>
      <c r="D229" s="415">
        <v>0.25</v>
      </c>
      <c r="E229" t="str">
        <f>'Drop Down '!B32</f>
        <v>Ja, vanaf 75% van het bestaand openbaar gebied wordt herverkaveld</v>
      </c>
      <c r="F229" s="285"/>
      <c r="G229" s="285"/>
      <c r="H229" s="285"/>
      <c r="I229" s="285"/>
      <c r="J229" s="285"/>
      <c r="K229" s="285"/>
      <c r="L229" s="285"/>
      <c r="M229" s="285"/>
      <c r="N229" s="285"/>
      <c r="O229" s="285"/>
      <c r="P229" s="285"/>
      <c r="Q229" s="302"/>
    </row>
    <row r="230" spans="3:17" ht="15" thickBot="1" x14ac:dyDescent="0.35">
      <c r="C230" s="306"/>
      <c r="D230" s="310"/>
      <c r="E230" s="310"/>
      <c r="F230" s="310"/>
      <c r="G230" s="307"/>
      <c r="H230" s="307"/>
      <c r="I230" s="307"/>
      <c r="J230" s="307"/>
      <c r="K230" s="307"/>
      <c r="L230" s="307"/>
      <c r="M230" s="307"/>
      <c r="N230" s="307"/>
      <c r="O230" s="307"/>
      <c r="P230" s="307"/>
      <c r="Q230" s="308"/>
    </row>
    <row r="231" spans="3:17" ht="15" thickBot="1" x14ac:dyDescent="0.35">
      <c r="C231" s="263" t="s">
        <v>488</v>
      </c>
      <c r="D231" s="264"/>
      <c r="E231" s="264"/>
      <c r="F231" s="264"/>
      <c r="G231" s="264"/>
      <c r="H231" s="264"/>
      <c r="I231" s="264"/>
      <c r="J231" s="264"/>
      <c r="K231" s="266"/>
      <c r="L231" s="264"/>
      <c r="M231" s="264"/>
      <c r="N231" s="264"/>
      <c r="O231" s="264"/>
      <c r="P231" s="264"/>
      <c r="Q231" s="264"/>
    </row>
    <row r="232" spans="3:17" x14ac:dyDescent="0.3">
      <c r="C232" s="309"/>
      <c r="D232" s="285"/>
      <c r="E232" s="285"/>
      <c r="F232" s="285"/>
      <c r="G232" s="285"/>
      <c r="H232" s="285"/>
      <c r="I232" s="285"/>
      <c r="J232" s="285"/>
      <c r="K232" s="285"/>
      <c r="L232" s="285"/>
      <c r="M232" s="285"/>
      <c r="N232" s="285"/>
      <c r="O232" s="285"/>
      <c r="P232" s="285"/>
      <c r="Q232" s="302"/>
    </row>
    <row r="233" spans="3:17" x14ac:dyDescent="0.3">
      <c r="C233" s="271"/>
      <c r="D233" s="357">
        <f>Vragenlijst!E86</f>
        <v>0</v>
      </c>
      <c r="E233" s="285" t="s">
        <v>489</v>
      </c>
      <c r="F233" s="285"/>
      <c r="G233" s="303"/>
      <c r="H233" s="285"/>
      <c r="I233" s="285"/>
      <c r="J233" s="285"/>
      <c r="K233" s="285"/>
      <c r="L233" s="285"/>
      <c r="M233" s="285"/>
      <c r="N233" s="285"/>
      <c r="O233" s="285"/>
      <c r="P233" s="285"/>
      <c r="Q233" s="302"/>
    </row>
    <row r="234" spans="3:17" x14ac:dyDescent="0.3">
      <c r="C234" s="271"/>
      <c r="D234" s="675">
        <f>IF(D233=0,D236,IF(D233=1,D237,IF(D233&gt;=2,D238)))</f>
        <v>0</v>
      </c>
      <c r="E234" s="304" t="s">
        <v>480</v>
      </c>
      <c r="F234" s="285"/>
      <c r="G234" s="285"/>
      <c r="H234" s="285"/>
      <c r="I234" s="285"/>
      <c r="J234" s="285"/>
      <c r="K234" s="285"/>
      <c r="L234" s="285"/>
      <c r="M234" s="285"/>
      <c r="N234" s="285"/>
      <c r="O234" s="285"/>
      <c r="P234" s="285"/>
      <c r="Q234" s="302"/>
    </row>
    <row r="235" spans="3:17" x14ac:dyDescent="0.3">
      <c r="C235" s="271"/>
      <c r="D235" s="285"/>
      <c r="E235" s="285"/>
      <c r="F235" s="285"/>
      <c r="G235" s="285"/>
      <c r="H235" s="285"/>
      <c r="I235" s="285"/>
      <c r="J235" s="285"/>
      <c r="K235" s="285"/>
      <c r="L235" s="285"/>
      <c r="M235" s="285"/>
      <c r="N235" s="285"/>
      <c r="O235" s="285"/>
      <c r="P235" s="285"/>
      <c r="Q235" s="302"/>
    </row>
    <row r="236" spans="3:17" x14ac:dyDescent="0.3">
      <c r="C236" s="271"/>
      <c r="D236" s="454">
        <v>0</v>
      </c>
      <c r="E236" t="s">
        <v>490</v>
      </c>
      <c r="F236" s="285"/>
      <c r="G236" s="285"/>
      <c r="H236" s="285"/>
      <c r="I236" s="285"/>
      <c r="J236" s="285"/>
      <c r="K236" s="285"/>
      <c r="L236" s="285"/>
      <c r="M236" s="285"/>
      <c r="N236" s="285"/>
      <c r="O236" s="285"/>
      <c r="P236" s="285"/>
      <c r="Q236" s="302"/>
    </row>
    <row r="237" spans="3:17" x14ac:dyDescent="0.3">
      <c r="C237" s="271"/>
      <c r="D237" s="454">
        <v>0.02</v>
      </c>
      <c r="E237" s="285" t="s">
        <v>491</v>
      </c>
      <c r="F237" s="304"/>
      <c r="G237" s="285"/>
      <c r="H237" s="285"/>
      <c r="I237" s="285"/>
      <c r="J237" s="285"/>
      <c r="K237" s="285"/>
      <c r="L237" s="285"/>
      <c r="M237" s="285"/>
      <c r="N237" s="285"/>
      <c r="O237" s="285"/>
      <c r="P237" s="285"/>
      <c r="Q237" s="302"/>
    </row>
    <row r="238" spans="3:17" x14ac:dyDescent="0.3">
      <c r="C238" s="271"/>
      <c r="D238" s="415">
        <v>0.05</v>
      </c>
      <c r="E238" s="285" t="s">
        <v>492</v>
      </c>
      <c r="F238" s="285"/>
      <c r="G238" s="285"/>
      <c r="H238" s="285"/>
      <c r="I238" s="285"/>
      <c r="J238" s="285"/>
      <c r="K238" s="285"/>
      <c r="L238" s="285"/>
      <c r="M238" s="285"/>
      <c r="N238" s="285"/>
      <c r="O238" s="285"/>
      <c r="P238" s="285"/>
      <c r="Q238" s="302"/>
    </row>
    <row r="239" spans="3:17" ht="15" thickBot="1" x14ac:dyDescent="0.35">
      <c r="C239" s="306"/>
      <c r="D239" s="310"/>
      <c r="E239" s="310"/>
      <c r="F239" s="310"/>
      <c r="G239" s="307"/>
      <c r="H239" s="307"/>
      <c r="I239" s="307"/>
      <c r="J239" s="307"/>
      <c r="K239" s="307"/>
      <c r="L239" s="307"/>
      <c r="M239" s="307"/>
      <c r="N239" s="307"/>
      <c r="O239" s="307"/>
      <c r="P239" s="307"/>
      <c r="Q239" s="308"/>
    </row>
    <row r="240" spans="3:17" ht="15" thickBot="1" x14ac:dyDescent="0.35">
      <c r="C240" s="263" t="s">
        <v>493</v>
      </c>
      <c r="D240" s="264"/>
      <c r="E240" s="264"/>
      <c r="F240" s="264"/>
      <c r="G240" s="264"/>
      <c r="H240" s="264"/>
      <c r="I240" s="264"/>
      <c r="J240" s="264"/>
      <c r="K240" s="266"/>
      <c r="L240" s="264"/>
      <c r="M240" s="264"/>
      <c r="N240" s="264"/>
      <c r="O240" s="264"/>
      <c r="P240" s="264"/>
      <c r="Q240" s="264"/>
    </row>
    <row r="241" spans="3:17" x14ac:dyDescent="0.3">
      <c r="C241" s="309"/>
      <c r="D241" s="285"/>
      <c r="E241" s="285"/>
      <c r="F241" s="285"/>
      <c r="G241" s="285"/>
      <c r="H241" s="285"/>
      <c r="I241" s="285"/>
      <c r="J241" s="285"/>
      <c r="K241" s="285"/>
      <c r="L241" s="285"/>
      <c r="M241" s="285"/>
      <c r="N241" s="285"/>
      <c r="O241" s="285"/>
      <c r="P241" s="285"/>
      <c r="Q241" s="302"/>
    </row>
    <row r="242" spans="3:17" x14ac:dyDescent="0.3">
      <c r="C242" s="271"/>
      <c r="D242" s="285" t="s">
        <v>494</v>
      </c>
      <c r="E242" s="357" t="str">
        <f>Productenlijst!E11</f>
        <v>Geen Programma ingevuld</v>
      </c>
      <c r="G242" s="303"/>
      <c r="H242" s="285"/>
      <c r="I242" s="285"/>
      <c r="J242" s="285"/>
      <c r="K242" s="285"/>
      <c r="L242" s="285"/>
      <c r="M242" s="285"/>
      <c r="N242" s="285"/>
      <c r="O242" s="285"/>
      <c r="P242" s="285"/>
      <c r="Q242" s="302"/>
    </row>
    <row r="243" spans="3:17" x14ac:dyDescent="0.3">
      <c r="C243" s="271"/>
      <c r="D243" s="675">
        <f>MIN(10%,IF(COUNTA(Vragenlijst!E37:E40)&gt;1,IF(Vragenlijst!E37&gt;0,D245,0)+IF(Vragenlijst!E38&gt;0,D246,0)+IF(Vragenlijst!E39&gt;0,D247,0)+IF(Vragenlijst!E40&gt;0,D248,0),IF(Vragenlijst!E40&gt;0,D248,0)))+IF(E242=Vragenlijst!D38,D249,0)+IF(E242=Vragenlijst!D39,D250)</f>
        <v>0</v>
      </c>
      <c r="E243" s="304" t="s">
        <v>480</v>
      </c>
      <c r="F243" s="317" t="s">
        <v>495</v>
      </c>
      <c r="G243" s="456">
        <v>0.1</v>
      </c>
      <c r="H243" s="285"/>
      <c r="I243" s="285"/>
      <c r="J243" s="285"/>
      <c r="K243" s="285"/>
      <c r="L243" s="285"/>
      <c r="M243" s="285"/>
      <c r="N243" s="285"/>
      <c r="O243" s="285"/>
      <c r="P243" s="285"/>
      <c r="Q243" s="302"/>
    </row>
    <row r="244" spans="3:17" x14ac:dyDescent="0.3">
      <c r="C244" s="271"/>
      <c r="D244" s="285"/>
      <c r="E244" s="285"/>
      <c r="F244" s="285"/>
      <c r="G244" s="285"/>
      <c r="H244" s="285"/>
      <c r="I244" s="285"/>
      <c r="J244" s="285"/>
      <c r="K244" s="285"/>
      <c r="L244" s="285"/>
      <c r="M244" s="285"/>
      <c r="N244" s="285"/>
      <c r="O244" s="285"/>
      <c r="P244" s="285"/>
      <c r="Q244" s="302"/>
    </row>
    <row r="245" spans="3:17" x14ac:dyDescent="0.3">
      <c r="C245" s="271"/>
      <c r="D245" s="454">
        <v>0.02</v>
      </c>
      <c r="E245" t="s">
        <v>53</v>
      </c>
      <c r="F245" s="285"/>
      <c r="G245" s="285"/>
      <c r="H245" s="285"/>
      <c r="I245" s="285"/>
      <c r="J245" s="285"/>
      <c r="K245" s="285"/>
      <c r="L245" s="285"/>
      <c r="M245" s="285"/>
      <c r="N245" s="285"/>
      <c r="O245" s="285"/>
      <c r="P245" s="285"/>
      <c r="Q245" s="302"/>
    </row>
    <row r="246" spans="3:17" x14ac:dyDescent="0.3">
      <c r="C246" s="271"/>
      <c r="D246" s="454">
        <v>0.02</v>
      </c>
      <c r="E246" s="285" t="s">
        <v>55</v>
      </c>
      <c r="F246" s="304"/>
      <c r="G246" s="285"/>
      <c r="H246" s="285"/>
      <c r="I246" s="285"/>
      <c r="J246" s="285"/>
      <c r="K246" s="285"/>
      <c r="L246" s="285"/>
      <c r="M246" s="285"/>
      <c r="N246" s="285"/>
      <c r="O246" s="285"/>
      <c r="P246" s="285"/>
      <c r="Q246" s="302"/>
    </row>
    <row r="247" spans="3:17" x14ac:dyDescent="0.3">
      <c r="C247" s="271"/>
      <c r="D247" s="415">
        <v>0.02</v>
      </c>
      <c r="E247" s="285" t="s">
        <v>57</v>
      </c>
      <c r="F247" s="285"/>
      <c r="G247" s="285"/>
      <c r="H247" s="285"/>
      <c r="I247" s="415"/>
      <c r="J247" s="285"/>
      <c r="K247" s="285"/>
      <c r="L247" s="285"/>
      <c r="M247" s="285"/>
      <c r="N247" s="285"/>
      <c r="O247" s="285"/>
      <c r="P247" s="285"/>
      <c r="Q247" s="302"/>
    </row>
    <row r="248" spans="3:17" x14ac:dyDescent="0.3">
      <c r="C248" s="271"/>
      <c r="D248" s="415">
        <v>0.05</v>
      </c>
      <c r="E248" s="285" t="s">
        <v>59</v>
      </c>
      <c r="F248" s="285"/>
      <c r="G248" s="285"/>
      <c r="H248" s="285"/>
      <c r="I248" s="285"/>
      <c r="J248" s="285"/>
      <c r="K248" s="285"/>
      <c r="L248" s="285"/>
      <c r="M248" s="285"/>
      <c r="N248" s="285"/>
      <c r="O248" s="285"/>
      <c r="P248" s="285"/>
      <c r="Q248" s="302"/>
    </row>
    <row r="249" spans="3:17" x14ac:dyDescent="0.3">
      <c r="C249" s="271"/>
      <c r="D249" s="415">
        <v>-0.05</v>
      </c>
      <c r="E249" s="285" t="s">
        <v>496</v>
      </c>
      <c r="F249" s="285"/>
      <c r="G249" s="285"/>
      <c r="H249" s="285"/>
      <c r="I249" s="285"/>
      <c r="J249" s="285"/>
      <c r="K249" s="285"/>
      <c r="L249" s="285"/>
      <c r="M249" s="285"/>
      <c r="N249" s="285"/>
      <c r="O249" s="285"/>
      <c r="P249" s="285"/>
      <c r="Q249" s="302"/>
    </row>
    <row r="250" spans="3:17" ht="15" thickBot="1" x14ac:dyDescent="0.35">
      <c r="C250" s="306"/>
      <c r="D250" s="415">
        <v>0.02</v>
      </c>
      <c r="E250" s="310" t="s">
        <v>497</v>
      </c>
      <c r="F250" s="310"/>
      <c r="G250" s="307"/>
      <c r="H250" s="307"/>
      <c r="I250" s="307"/>
      <c r="J250" s="307"/>
      <c r="K250" s="307"/>
      <c r="L250" s="307"/>
      <c r="M250" s="307"/>
      <c r="N250" s="307"/>
      <c r="O250" s="307"/>
      <c r="P250" s="307"/>
      <c r="Q250" s="308"/>
    </row>
    <row r="251" spans="3:17" ht="15" thickBot="1" x14ac:dyDescent="0.35">
      <c r="C251" s="263" t="s">
        <v>498</v>
      </c>
      <c r="D251" s="264"/>
      <c r="E251" s="264"/>
      <c r="F251" s="264"/>
      <c r="G251" s="264"/>
      <c r="H251" s="264"/>
      <c r="I251" s="264"/>
      <c r="J251" s="264"/>
      <c r="K251" s="266"/>
      <c r="L251" s="264"/>
      <c r="M251" s="264"/>
      <c r="N251" s="264"/>
      <c r="O251" s="264"/>
      <c r="P251" s="264"/>
      <c r="Q251" s="264"/>
    </row>
    <row r="252" spans="3:17" x14ac:dyDescent="0.3">
      <c r="C252" s="309"/>
      <c r="D252" s="285"/>
      <c r="E252" s="285"/>
      <c r="F252" s="285"/>
      <c r="G252" s="285"/>
      <c r="H252" s="285"/>
      <c r="I252" s="285"/>
      <c r="J252" s="285"/>
      <c r="K252" s="285"/>
      <c r="L252" s="285"/>
      <c r="M252" s="285"/>
      <c r="N252" s="285"/>
      <c r="O252" s="285"/>
      <c r="P252" s="285"/>
      <c r="Q252" s="302"/>
    </row>
    <row r="253" spans="3:17" x14ac:dyDescent="0.3">
      <c r="C253" s="271"/>
      <c r="D253" s="285" t="s">
        <v>499</v>
      </c>
      <c r="E253" s="357" t="str">
        <f>Productenlijst!E12</f>
        <v>Geen onderzoek geselecteerd</v>
      </c>
      <c r="G253" s="303"/>
      <c r="H253" s="285"/>
      <c r="I253" s="285"/>
      <c r="J253" s="285"/>
      <c r="K253" s="285"/>
      <c r="L253" s="285"/>
      <c r="M253" s="285"/>
      <c r="N253" s="285"/>
      <c r="O253" s="285"/>
      <c r="P253" s="285"/>
      <c r="Q253" s="302"/>
    </row>
    <row r="254" spans="3:17" x14ac:dyDescent="0.3">
      <c r="C254" s="271"/>
      <c r="D254" s="675">
        <f>MIN(IF(Vragenlijst!E51="Ja",D256,0)+IF(Vragenlijst!E52="Ja",D257,0)+IF(Vragenlijst!E53="Ja",D258,0)+IF(Vragenlijst!E131="Ja",D259,0),10%)</f>
        <v>0</v>
      </c>
      <c r="E254" s="304" t="s">
        <v>480</v>
      </c>
      <c r="F254" s="317" t="s">
        <v>495</v>
      </c>
      <c r="G254" s="456">
        <v>0.1</v>
      </c>
      <c r="H254" s="285"/>
      <c r="I254" s="285"/>
      <c r="J254" s="285"/>
      <c r="K254" s="285"/>
      <c r="L254" s="285"/>
      <c r="M254" s="285"/>
      <c r="N254" s="285"/>
      <c r="O254" s="285"/>
      <c r="P254" s="285"/>
      <c r="Q254" s="302"/>
    </row>
    <row r="255" spans="3:17" x14ac:dyDescent="0.3">
      <c r="C255" s="271"/>
      <c r="D255" s="285"/>
      <c r="E255" s="285"/>
      <c r="F255" s="285"/>
      <c r="G255" s="285"/>
      <c r="H255" s="285"/>
      <c r="I255" s="285"/>
      <c r="J255" s="285"/>
      <c r="K255" s="285"/>
      <c r="L255" s="285"/>
      <c r="M255" s="285"/>
      <c r="N255" s="285"/>
      <c r="O255" s="285"/>
      <c r="P255" s="285"/>
      <c r="Q255" s="302"/>
    </row>
    <row r="256" spans="3:17" x14ac:dyDescent="0.3">
      <c r="C256" s="271"/>
      <c r="D256" s="454">
        <v>0.08</v>
      </c>
      <c r="E256" t="s">
        <v>67</v>
      </c>
      <c r="F256" s="285"/>
      <c r="G256" s="285"/>
      <c r="H256" s="285"/>
      <c r="I256" s="285"/>
      <c r="J256" s="285"/>
      <c r="K256" s="285"/>
      <c r="L256" s="285"/>
      <c r="M256" s="285"/>
      <c r="N256" s="285"/>
      <c r="O256" s="285"/>
      <c r="P256" s="285"/>
      <c r="Q256" s="302"/>
    </row>
    <row r="257" spans="3:17" x14ac:dyDescent="0.3">
      <c r="C257" s="271"/>
      <c r="D257" s="454">
        <v>0.06</v>
      </c>
      <c r="E257" s="285" t="s">
        <v>68</v>
      </c>
      <c r="F257" s="304"/>
      <c r="G257" s="285"/>
      <c r="H257" s="285"/>
      <c r="I257" s="285"/>
      <c r="J257" s="285"/>
      <c r="K257" s="285"/>
      <c r="L257" s="285"/>
      <c r="M257" s="285"/>
      <c r="N257" s="285"/>
      <c r="O257" s="285"/>
      <c r="P257" s="285"/>
      <c r="Q257" s="302"/>
    </row>
    <row r="258" spans="3:17" x14ac:dyDescent="0.3">
      <c r="C258" s="271"/>
      <c r="D258" s="415">
        <v>0.05</v>
      </c>
      <c r="E258" s="285" t="s">
        <v>69</v>
      </c>
      <c r="F258" s="285"/>
      <c r="G258" s="285"/>
      <c r="H258" s="285"/>
      <c r="I258" s="285"/>
      <c r="J258" s="285"/>
      <c r="K258" s="285"/>
      <c r="L258" s="285"/>
      <c r="M258" s="285"/>
      <c r="N258" s="285"/>
      <c r="O258" s="285"/>
      <c r="P258" s="285"/>
      <c r="Q258" s="302"/>
    </row>
    <row r="259" spans="3:17" x14ac:dyDescent="0.3">
      <c r="C259" s="271"/>
      <c r="D259" s="415">
        <v>0.04</v>
      </c>
      <c r="E259" s="285" t="s">
        <v>500</v>
      </c>
      <c r="F259" s="285"/>
      <c r="G259" s="285"/>
      <c r="H259" s="285"/>
      <c r="I259" s="285"/>
      <c r="J259" s="285"/>
      <c r="K259" s="285"/>
      <c r="L259" s="285"/>
      <c r="M259" s="285"/>
      <c r="N259" s="285"/>
      <c r="O259" s="285"/>
      <c r="P259" s="285"/>
      <c r="Q259" s="302"/>
    </row>
    <row r="260" spans="3:17" x14ac:dyDescent="0.3">
      <c r="C260" s="271"/>
      <c r="D260" s="415"/>
      <c r="F260" s="285"/>
      <c r="G260" s="285"/>
      <c r="H260" s="285"/>
      <c r="I260" s="285"/>
      <c r="J260" s="285"/>
      <c r="K260" s="285"/>
      <c r="L260" s="285"/>
      <c r="M260" s="285"/>
      <c r="N260" s="285"/>
      <c r="O260" s="285"/>
      <c r="P260" s="285"/>
      <c r="Q260" s="302"/>
    </row>
    <row r="261" spans="3:17" ht="15" thickBot="1" x14ac:dyDescent="0.35">
      <c r="C261" s="306"/>
      <c r="D261" s="310"/>
      <c r="E261" s="310"/>
      <c r="F261" s="310"/>
      <c r="G261" s="307"/>
      <c r="H261" s="307"/>
      <c r="I261" s="307"/>
      <c r="J261" s="307"/>
      <c r="K261" s="307"/>
      <c r="L261" s="307"/>
      <c r="M261" s="307"/>
      <c r="N261" s="307"/>
      <c r="O261" s="307"/>
      <c r="P261" s="307"/>
      <c r="Q261" s="308"/>
    </row>
    <row r="262" spans="3:17" ht="15" thickBot="1" x14ac:dyDescent="0.35">
      <c r="C262" s="263" t="s">
        <v>501</v>
      </c>
      <c r="D262" s="264"/>
      <c r="E262" s="264"/>
      <c r="F262" s="264"/>
      <c r="G262" s="264"/>
      <c r="H262" s="264"/>
      <c r="I262" s="264"/>
      <c r="J262" s="264"/>
      <c r="K262" s="266"/>
      <c r="L262" s="264"/>
      <c r="M262" s="264"/>
      <c r="N262" s="264"/>
      <c r="O262" s="264"/>
      <c r="P262" s="264"/>
      <c r="Q262" s="265"/>
    </row>
    <row r="263" spans="3:17" x14ac:dyDescent="0.3">
      <c r="C263" s="309"/>
      <c r="D263" s="285"/>
      <c r="E263" s="285"/>
      <c r="F263" s="285"/>
      <c r="G263" s="285"/>
      <c r="H263" s="285"/>
      <c r="I263" s="285"/>
      <c r="J263" s="285"/>
      <c r="K263" s="285"/>
      <c r="L263" s="285"/>
      <c r="M263" s="285"/>
      <c r="N263" s="285"/>
      <c r="O263" s="285"/>
      <c r="P263" s="285"/>
      <c r="Q263" s="302"/>
    </row>
    <row r="264" spans="3:17" x14ac:dyDescent="0.3">
      <c r="C264" s="271"/>
      <c r="D264" s="357">
        <f>Vragenlijst!E42</f>
        <v>0</v>
      </c>
      <c r="E264" s="285" t="s">
        <v>502</v>
      </c>
      <c r="F264" s="285"/>
      <c r="G264" s="303"/>
      <c r="H264" s="285"/>
      <c r="I264" s="285"/>
      <c r="J264" s="285"/>
      <c r="K264" s="285"/>
      <c r="L264" s="285"/>
      <c r="M264" s="285"/>
      <c r="N264" s="285"/>
      <c r="O264" s="285"/>
      <c r="P264" s="285"/>
      <c r="Q264" s="302"/>
    </row>
    <row r="265" spans="3:17" x14ac:dyDescent="0.3">
      <c r="C265" s="271"/>
      <c r="D265" s="676">
        <f>-1*(IF(D264&lt;30,D267,(IF(D264&lt;40,D268,IF(D264&lt;50,D269,(IF(D264&lt;60,D270,IF(D264&lt;70,D271,IF(D264&lt;80,D272,IF(D264&lt;90,D273,IF(D264&lt;100,D274,D275)))))))))))</f>
        <v>0</v>
      </c>
      <c r="E265" s="304" t="s">
        <v>480</v>
      </c>
      <c r="F265" s="285"/>
      <c r="G265" s="285"/>
      <c r="H265" s="285"/>
      <c r="I265" s="285"/>
      <c r="J265" s="285"/>
      <c r="K265" s="285"/>
      <c r="L265" s="285"/>
      <c r="M265" s="285"/>
      <c r="N265" s="285"/>
      <c r="O265" s="285"/>
      <c r="P265" s="285"/>
      <c r="Q265" s="302"/>
    </row>
    <row r="266" spans="3:17" x14ac:dyDescent="0.3">
      <c r="C266" s="271"/>
      <c r="D266" s="285"/>
      <c r="E266" s="285"/>
      <c r="F266" s="285"/>
      <c r="G266" s="285"/>
      <c r="H266" s="285"/>
      <c r="I266" s="285"/>
      <c r="J266" s="285"/>
      <c r="K266" s="285"/>
      <c r="L266" s="285"/>
      <c r="M266" s="285"/>
      <c r="N266" s="285"/>
      <c r="O266" s="285"/>
      <c r="P266" s="285"/>
      <c r="Q266" s="302"/>
    </row>
    <row r="267" spans="3:17" x14ac:dyDescent="0.3">
      <c r="C267" s="271"/>
      <c r="D267" s="455">
        <v>0</v>
      </c>
      <c r="E267" s="285" t="s">
        <v>503</v>
      </c>
      <c r="F267" s="285"/>
      <c r="G267" s="285"/>
      <c r="H267" s="285"/>
      <c r="I267" s="285"/>
      <c r="J267" s="285"/>
      <c r="K267" s="455"/>
      <c r="L267" s="285"/>
      <c r="M267" s="285"/>
      <c r="N267" s="285"/>
      <c r="O267" s="285"/>
      <c r="P267" s="285"/>
      <c r="Q267" s="302"/>
    </row>
    <row r="268" spans="3:17" x14ac:dyDescent="0.3">
      <c r="C268" s="271"/>
      <c r="D268" s="455">
        <v>2.5000000000000001E-2</v>
      </c>
      <c r="E268" s="285" t="s">
        <v>504</v>
      </c>
      <c r="F268" s="304"/>
      <c r="G268" s="285"/>
      <c r="H268" s="285"/>
      <c r="I268" s="285"/>
      <c r="J268" s="285"/>
      <c r="K268" s="455"/>
      <c r="L268" s="285"/>
      <c r="M268" s="285"/>
      <c r="N268" s="285"/>
      <c r="O268" s="285"/>
      <c r="P268" s="285"/>
      <c r="Q268" s="302"/>
    </row>
    <row r="269" spans="3:17" x14ac:dyDescent="0.3">
      <c r="C269" s="271"/>
      <c r="D269" s="455">
        <v>0.05</v>
      </c>
      <c r="E269" s="285" t="s">
        <v>505</v>
      </c>
      <c r="F269" s="285"/>
      <c r="G269" s="285"/>
      <c r="H269" s="285"/>
      <c r="I269" s="285"/>
      <c r="J269" s="285"/>
      <c r="K269" s="455"/>
      <c r="L269" s="285"/>
      <c r="M269" s="285"/>
      <c r="N269" s="285"/>
      <c r="O269" s="285"/>
      <c r="P269" s="285"/>
      <c r="Q269" s="302"/>
    </row>
    <row r="270" spans="3:17" x14ac:dyDescent="0.3">
      <c r="C270" s="271"/>
      <c r="D270" s="455">
        <v>0.1</v>
      </c>
      <c r="E270" s="285" t="s">
        <v>506</v>
      </c>
      <c r="F270" s="285"/>
      <c r="G270" s="285"/>
      <c r="H270" s="285"/>
      <c r="I270" s="285"/>
      <c r="J270" s="285"/>
      <c r="K270" s="455"/>
      <c r="L270" s="285"/>
      <c r="M270" s="285"/>
      <c r="N270" s="285"/>
      <c r="O270" s="285"/>
      <c r="P270" s="285"/>
      <c r="Q270" s="302"/>
    </row>
    <row r="271" spans="3:17" x14ac:dyDescent="0.3">
      <c r="C271" s="271"/>
      <c r="D271" s="455">
        <v>0.15</v>
      </c>
      <c r="E271" s="285" t="s">
        <v>507</v>
      </c>
      <c r="F271" s="285"/>
      <c r="G271" s="285"/>
      <c r="H271" s="285"/>
      <c r="I271" s="285"/>
      <c r="J271" s="285"/>
      <c r="K271" s="455"/>
      <c r="L271" s="285"/>
      <c r="M271" s="285"/>
      <c r="N271" s="285"/>
      <c r="O271" s="285"/>
      <c r="P271" s="285"/>
      <c r="Q271" s="302"/>
    </row>
    <row r="272" spans="3:17" x14ac:dyDescent="0.3">
      <c r="C272" s="271"/>
      <c r="D272" s="455">
        <v>0.2</v>
      </c>
      <c r="E272" s="285" t="s">
        <v>508</v>
      </c>
      <c r="F272" s="285"/>
      <c r="G272" s="285"/>
      <c r="H272" s="285"/>
      <c r="I272" s="285"/>
      <c r="J272" s="285"/>
      <c r="K272" s="455"/>
      <c r="L272" s="285"/>
      <c r="M272" s="285"/>
      <c r="N272" s="285"/>
      <c r="O272" s="285"/>
      <c r="P272" s="285"/>
      <c r="Q272" s="302"/>
    </row>
    <row r="273" spans="3:17" x14ac:dyDescent="0.3">
      <c r="C273" s="271"/>
      <c r="D273" s="455">
        <v>0.25</v>
      </c>
      <c r="E273" s="285" t="s">
        <v>509</v>
      </c>
      <c r="F273" s="285"/>
      <c r="G273" s="285"/>
      <c r="H273" s="285"/>
      <c r="I273" s="285"/>
      <c r="J273" s="285"/>
      <c r="K273" s="455"/>
      <c r="L273" s="285"/>
      <c r="M273" s="285"/>
      <c r="N273" s="285"/>
      <c r="O273" s="285"/>
      <c r="P273" s="285"/>
      <c r="Q273" s="302"/>
    </row>
    <row r="274" spans="3:17" x14ac:dyDescent="0.3">
      <c r="C274" s="271"/>
      <c r="D274" s="455">
        <v>0.3</v>
      </c>
      <c r="E274" s="285" t="s">
        <v>510</v>
      </c>
      <c r="F274" s="285"/>
      <c r="G274" s="285"/>
      <c r="H274" s="285"/>
      <c r="I274" s="285"/>
      <c r="J274" s="285"/>
      <c r="K274" s="455"/>
      <c r="L274" s="285"/>
      <c r="M274" s="285"/>
      <c r="N274" s="285"/>
      <c r="O274" s="285"/>
      <c r="P274" s="285"/>
      <c r="Q274" s="302"/>
    </row>
    <row r="275" spans="3:17" x14ac:dyDescent="0.3">
      <c r="C275" s="283"/>
      <c r="D275" s="458">
        <v>0.35</v>
      </c>
      <c r="E275" s="285" t="s">
        <v>511</v>
      </c>
      <c r="F275" s="268"/>
      <c r="G275" s="285"/>
      <c r="H275" s="285"/>
      <c r="I275" s="285"/>
      <c r="J275" s="285"/>
      <c r="K275" s="285"/>
      <c r="L275" s="285"/>
      <c r="M275" s="285"/>
      <c r="N275" s="285"/>
      <c r="O275" s="285"/>
      <c r="P275" s="285"/>
      <c r="Q275" s="302"/>
    </row>
    <row r="276" spans="3:17" ht="15" thickBot="1" x14ac:dyDescent="0.35">
      <c r="C276" s="306"/>
      <c r="D276" s="457"/>
      <c r="E276" s="310"/>
      <c r="F276" s="310"/>
      <c r="G276" s="307"/>
      <c r="H276" s="307"/>
      <c r="I276" s="307"/>
      <c r="J276" s="307"/>
      <c r="K276" s="307"/>
      <c r="L276" s="307"/>
      <c r="M276" s="307"/>
      <c r="N276" s="307"/>
      <c r="O276" s="307"/>
      <c r="P276" s="307"/>
      <c r="Q276" s="308"/>
    </row>
    <row r="277" spans="3:17" ht="15" thickBot="1" x14ac:dyDescent="0.35">
      <c r="C277" s="263" t="s">
        <v>512</v>
      </c>
      <c r="D277" s="264"/>
      <c r="E277" s="264"/>
      <c r="F277" s="264"/>
      <c r="G277" s="264"/>
      <c r="H277" s="264"/>
      <c r="I277" s="264"/>
      <c r="J277" s="264"/>
      <c r="K277" s="266"/>
      <c r="L277" s="264"/>
      <c r="M277" s="264"/>
      <c r="N277" s="264"/>
      <c r="O277" s="264"/>
      <c r="P277" s="264"/>
      <c r="Q277" s="265"/>
    </row>
    <row r="278" spans="3:17" x14ac:dyDescent="0.3">
      <c r="C278" s="644" t="s">
        <v>513</v>
      </c>
      <c r="D278" s="613"/>
      <c r="E278" s="613"/>
      <c r="F278" s="613"/>
      <c r="G278" s="613"/>
      <c r="H278" s="613"/>
      <c r="I278" s="613"/>
      <c r="J278" s="613"/>
      <c r="K278" s="613"/>
      <c r="L278" s="613"/>
      <c r="M278" s="613"/>
      <c r="N278" s="613"/>
      <c r="O278" s="613"/>
      <c r="P278" s="613"/>
      <c r="Q278" s="614"/>
    </row>
    <row r="279" spans="3:17" x14ac:dyDescent="0.3">
      <c r="C279" s="271"/>
      <c r="Q279" s="442"/>
    </row>
    <row r="280" spans="3:17" x14ac:dyDescent="0.3">
      <c r="C280" s="271"/>
      <c r="D280" s="357">
        <f>Vragenlijst!$E$24/10000</f>
        <v>0</v>
      </c>
      <c r="E280" s="317" t="s">
        <v>357</v>
      </c>
      <c r="Q280" s="442"/>
    </row>
    <row r="281" spans="3:17" x14ac:dyDescent="0.3">
      <c r="C281" s="271"/>
      <c r="D281" s="677">
        <f>IF(D280&lt;5,D283,IF(D280&lt;=20,D284,D285))</f>
        <v>56</v>
      </c>
      <c r="E281" s="317" t="s">
        <v>514</v>
      </c>
      <c r="Q281" s="442"/>
    </row>
    <row r="282" spans="3:17" x14ac:dyDescent="0.3">
      <c r="C282" s="271"/>
      <c r="E282" s="179"/>
      <c r="Q282" s="442"/>
    </row>
    <row r="283" spans="3:17" x14ac:dyDescent="0.3">
      <c r="C283" s="271"/>
      <c r="D283">
        <v>56</v>
      </c>
      <c r="E283" s="179" t="s">
        <v>515</v>
      </c>
      <c r="Q283" s="442"/>
    </row>
    <row r="284" spans="3:17" x14ac:dyDescent="0.3">
      <c r="C284" s="271"/>
      <c r="D284">
        <v>84</v>
      </c>
      <c r="E284" s="179" t="s">
        <v>516</v>
      </c>
      <c r="Q284" s="442"/>
    </row>
    <row r="285" spans="3:17" x14ac:dyDescent="0.3">
      <c r="C285" s="271"/>
      <c r="D285">
        <v>100</v>
      </c>
      <c r="E285" s="179" t="s">
        <v>517</v>
      </c>
      <c r="Q285" s="442"/>
    </row>
    <row r="286" spans="3:17" x14ac:dyDescent="0.3">
      <c r="C286" s="271"/>
      <c r="Q286" s="442"/>
    </row>
    <row r="287" spans="3:17" x14ac:dyDescent="0.3">
      <c r="C287" s="309" t="s">
        <v>518</v>
      </c>
      <c r="Q287" s="442"/>
    </row>
    <row r="288" spans="3:17" x14ac:dyDescent="0.3">
      <c r="C288" s="271"/>
      <c r="Q288" s="442"/>
    </row>
    <row r="289" spans="3:17" x14ac:dyDescent="0.3">
      <c r="C289" s="271"/>
      <c r="D289" s="677">
        <f>IF(D280&lt;5,D291,IF(D280&lt;=20,D292,D293))</f>
        <v>132</v>
      </c>
      <c r="E289" s="317" t="s">
        <v>514</v>
      </c>
      <c r="Q289" s="442"/>
    </row>
    <row r="290" spans="3:17" x14ac:dyDescent="0.3">
      <c r="C290" s="271"/>
      <c r="E290" s="179"/>
      <c r="Q290" s="442"/>
    </row>
    <row r="291" spans="3:17" x14ac:dyDescent="0.3">
      <c r="C291" s="271"/>
      <c r="D291">
        <v>132</v>
      </c>
      <c r="E291" s="179" t="s">
        <v>515</v>
      </c>
      <c r="Q291" s="442"/>
    </row>
    <row r="292" spans="3:17" x14ac:dyDescent="0.3">
      <c r="C292" s="271"/>
      <c r="D292">
        <v>160</v>
      </c>
      <c r="E292" s="179" t="s">
        <v>516</v>
      </c>
      <c r="Q292" s="442"/>
    </row>
    <row r="293" spans="3:17" x14ac:dyDescent="0.3">
      <c r="C293" s="271"/>
      <c r="D293">
        <v>192</v>
      </c>
      <c r="E293" s="179" t="s">
        <v>517</v>
      </c>
      <c r="Q293" s="442"/>
    </row>
    <row r="294" spans="3:17" ht="15" thickBot="1" x14ac:dyDescent="0.35">
      <c r="C294" s="315"/>
      <c r="D294" s="617"/>
      <c r="E294" s="617"/>
      <c r="F294" s="617"/>
      <c r="G294" s="617"/>
      <c r="H294" s="617"/>
      <c r="I294" s="617"/>
      <c r="J294" s="617"/>
      <c r="K294" s="617"/>
      <c r="L294" s="617"/>
      <c r="M294" s="617"/>
      <c r="N294" s="617"/>
      <c r="O294" s="617"/>
      <c r="P294" s="617"/>
      <c r="Q294" s="450"/>
    </row>
    <row r="295" spans="3:17" ht="15" thickBot="1" x14ac:dyDescent="0.35">
      <c r="C295" s="263" t="s">
        <v>576</v>
      </c>
      <c r="D295" s="264"/>
      <c r="E295" s="264"/>
      <c r="F295" s="264"/>
      <c r="G295" s="264"/>
      <c r="H295" s="264"/>
      <c r="I295" s="264"/>
      <c r="J295" s="264"/>
      <c r="K295" s="266"/>
      <c r="L295" s="264"/>
      <c r="M295" s="264"/>
      <c r="N295" s="264"/>
      <c r="O295" s="264"/>
      <c r="P295" s="264"/>
      <c r="Q295" s="265"/>
    </row>
    <row r="296" spans="3:17" x14ac:dyDescent="0.3">
      <c r="C296" s="648"/>
      <c r="D296" s="613"/>
      <c r="E296" s="613"/>
      <c r="F296" s="613"/>
      <c r="G296" s="613"/>
      <c r="H296" s="613"/>
      <c r="I296" s="613"/>
      <c r="J296" s="613"/>
      <c r="K296" s="613"/>
      <c r="L296" s="613"/>
      <c r="M296" s="613"/>
      <c r="N296" s="613"/>
      <c r="O296" s="613"/>
      <c r="P296" s="613"/>
      <c r="Q296" s="614"/>
    </row>
    <row r="297" spans="3:17" ht="15" thickBot="1" x14ac:dyDescent="0.35">
      <c r="C297" s="271"/>
      <c r="D297" s="436" t="s">
        <v>519</v>
      </c>
      <c r="E297" s="649" t="s">
        <v>520</v>
      </c>
      <c r="F297" s="649" t="s">
        <v>521</v>
      </c>
      <c r="G297" s="649" t="s">
        <v>522</v>
      </c>
      <c r="H297" s="649" t="s">
        <v>523</v>
      </c>
      <c r="Q297" s="442"/>
    </row>
    <row r="298" spans="3:17" x14ac:dyDescent="0.3">
      <c r="C298" s="271"/>
      <c r="D298" s="437" t="s">
        <v>524</v>
      </c>
      <c r="E298" s="438" t="s">
        <v>525</v>
      </c>
      <c r="F298" s="438" t="s">
        <v>525</v>
      </c>
      <c r="G298" s="438" t="s">
        <v>525</v>
      </c>
      <c r="H298" s="438" t="s">
        <v>525</v>
      </c>
      <c r="J298" s="437" t="s">
        <v>526</v>
      </c>
      <c r="K298" s="439" t="s">
        <v>520</v>
      </c>
      <c r="L298" s="440" t="s">
        <v>521</v>
      </c>
      <c r="M298" s="440" t="s">
        <v>522</v>
      </c>
      <c r="N298" s="438" t="s">
        <v>527</v>
      </c>
      <c r="Q298" s="442"/>
    </row>
    <row r="299" spans="3:17" x14ac:dyDescent="0.3">
      <c r="C299" s="271"/>
      <c r="D299" s="441">
        <v>25</v>
      </c>
      <c r="E299" s="442">
        <v>12</v>
      </c>
      <c r="F299" s="442">
        <v>8</v>
      </c>
      <c r="G299" s="442">
        <v>8</v>
      </c>
      <c r="H299" s="442">
        <v>6</v>
      </c>
      <c r="J299" s="443" t="s">
        <v>150</v>
      </c>
      <c r="K299" s="444">
        <v>1.5</v>
      </c>
      <c r="L299" s="444">
        <v>6</v>
      </c>
      <c r="M299" s="444">
        <v>2.5</v>
      </c>
      <c r="N299" s="445">
        <v>2.5</v>
      </c>
      <c r="Q299" s="442"/>
    </row>
    <row r="300" spans="3:17" x14ac:dyDescent="0.3">
      <c r="C300" s="271"/>
      <c r="D300" s="441">
        <v>50</v>
      </c>
      <c r="E300" s="442">
        <v>13</v>
      </c>
      <c r="F300" s="442">
        <v>10</v>
      </c>
      <c r="G300" s="442">
        <v>10</v>
      </c>
      <c r="H300" s="442">
        <v>8</v>
      </c>
      <c r="J300" s="443" t="s">
        <v>155</v>
      </c>
      <c r="K300" s="444">
        <v>2</v>
      </c>
      <c r="L300" s="444" t="s">
        <v>528</v>
      </c>
      <c r="M300" s="444" t="s">
        <v>528</v>
      </c>
      <c r="N300" s="445" t="s">
        <v>528</v>
      </c>
      <c r="Q300" s="442"/>
    </row>
    <row r="301" spans="3:17" x14ac:dyDescent="0.3">
      <c r="C301" s="271"/>
      <c r="D301" s="441">
        <v>100</v>
      </c>
      <c r="E301" s="442">
        <v>14</v>
      </c>
      <c r="F301" s="442">
        <v>12</v>
      </c>
      <c r="G301" s="442">
        <v>12</v>
      </c>
      <c r="H301" s="442">
        <v>10</v>
      </c>
      <c r="J301" s="443" t="s">
        <v>156</v>
      </c>
      <c r="K301" s="444">
        <v>0.25</v>
      </c>
      <c r="L301" s="444">
        <v>4</v>
      </c>
      <c r="M301" s="444">
        <v>0.75</v>
      </c>
      <c r="N301" s="445">
        <v>1.25</v>
      </c>
      <c r="Q301" s="442"/>
    </row>
    <row r="302" spans="3:17" x14ac:dyDescent="0.3">
      <c r="C302" s="271"/>
      <c r="D302" s="441">
        <v>250</v>
      </c>
      <c r="E302" s="442">
        <v>15</v>
      </c>
      <c r="F302" s="442">
        <v>14</v>
      </c>
      <c r="G302" s="442">
        <v>14</v>
      </c>
      <c r="H302" s="442">
        <v>12</v>
      </c>
      <c r="J302" s="443" t="s">
        <v>157</v>
      </c>
      <c r="K302" s="444">
        <v>2</v>
      </c>
      <c r="L302" s="444" t="s">
        <v>528</v>
      </c>
      <c r="M302" s="444" t="s">
        <v>528</v>
      </c>
      <c r="N302" s="445" t="s">
        <v>528</v>
      </c>
      <c r="Q302" s="442"/>
    </row>
    <row r="303" spans="3:17" x14ac:dyDescent="0.3">
      <c r="C303" s="271"/>
      <c r="D303" s="441">
        <v>500</v>
      </c>
      <c r="E303" s="442">
        <v>16</v>
      </c>
      <c r="F303" s="442">
        <v>16</v>
      </c>
      <c r="G303" s="442">
        <v>15</v>
      </c>
      <c r="H303" s="442">
        <v>14</v>
      </c>
      <c r="J303" s="443" t="s">
        <v>158</v>
      </c>
      <c r="K303" s="444">
        <v>1</v>
      </c>
      <c r="L303" s="444">
        <v>2</v>
      </c>
      <c r="M303" s="444" t="s">
        <v>528</v>
      </c>
      <c r="N303" s="445">
        <v>2.5</v>
      </c>
      <c r="Q303" s="442"/>
    </row>
    <row r="304" spans="3:17" x14ac:dyDescent="0.3">
      <c r="C304" s="271"/>
      <c r="D304" s="441">
        <v>750</v>
      </c>
      <c r="E304" s="442">
        <v>17</v>
      </c>
      <c r="F304" s="442">
        <v>18</v>
      </c>
      <c r="G304" s="442">
        <v>16</v>
      </c>
      <c r="H304" s="442">
        <v>16</v>
      </c>
      <c r="J304" s="443" t="s">
        <v>168</v>
      </c>
      <c r="K304" s="444" t="s">
        <v>528</v>
      </c>
      <c r="L304" s="444">
        <v>4</v>
      </c>
      <c r="M304" s="444" t="s">
        <v>528</v>
      </c>
      <c r="N304" s="445" t="s">
        <v>528</v>
      </c>
      <c r="Q304" s="442"/>
    </row>
    <row r="305" spans="3:17" ht="15" thickBot="1" x14ac:dyDescent="0.35">
      <c r="C305" s="271"/>
      <c r="D305" s="441">
        <v>1000</v>
      </c>
      <c r="E305" s="442">
        <v>18</v>
      </c>
      <c r="F305" s="442">
        <v>20</v>
      </c>
      <c r="G305" s="442">
        <v>17</v>
      </c>
      <c r="H305" s="442">
        <v>18</v>
      </c>
      <c r="J305" s="446" t="s">
        <v>529</v>
      </c>
      <c r="K305" s="447" t="s">
        <v>528</v>
      </c>
      <c r="L305" s="447">
        <v>0.5</v>
      </c>
      <c r="M305" s="447">
        <v>0.1</v>
      </c>
      <c r="N305" s="448">
        <v>0.25</v>
      </c>
      <c r="Q305" s="442"/>
    </row>
    <row r="306" spans="3:17" x14ac:dyDescent="0.3">
      <c r="C306" s="615"/>
      <c r="D306" s="441">
        <v>1250</v>
      </c>
      <c r="E306" s="442">
        <v>19</v>
      </c>
      <c r="F306" s="442">
        <v>22</v>
      </c>
      <c r="G306" s="442">
        <v>18</v>
      </c>
      <c r="H306" s="442">
        <v>19</v>
      </c>
      <c r="Q306" s="442"/>
    </row>
    <row r="307" spans="3:17" x14ac:dyDescent="0.3">
      <c r="C307" s="615"/>
      <c r="D307" s="441">
        <v>1500</v>
      </c>
      <c r="E307" s="442">
        <v>20</v>
      </c>
      <c r="F307" s="442">
        <v>24</v>
      </c>
      <c r="G307" s="442">
        <v>19</v>
      </c>
      <c r="H307" s="442">
        <v>20</v>
      </c>
      <c r="Q307" s="442"/>
    </row>
    <row r="308" spans="3:17" x14ac:dyDescent="0.3">
      <c r="C308" s="615"/>
      <c r="D308" s="441">
        <v>1750</v>
      </c>
      <c r="E308" s="442">
        <v>21</v>
      </c>
      <c r="F308" s="442">
        <v>26</v>
      </c>
      <c r="G308" s="442">
        <v>20</v>
      </c>
      <c r="H308" s="442">
        <v>21</v>
      </c>
      <c r="Q308" s="442"/>
    </row>
    <row r="309" spans="3:17" x14ac:dyDescent="0.3">
      <c r="C309" s="615"/>
      <c r="D309" s="441">
        <v>2000</v>
      </c>
      <c r="E309" s="442">
        <v>22</v>
      </c>
      <c r="F309" s="442">
        <v>28</v>
      </c>
      <c r="G309" s="442">
        <v>21</v>
      </c>
      <c r="H309" s="442">
        <v>22</v>
      </c>
      <c r="Q309" s="442"/>
    </row>
    <row r="310" spans="3:17" x14ac:dyDescent="0.3">
      <c r="C310" s="615"/>
      <c r="D310" s="441">
        <v>2500</v>
      </c>
      <c r="E310" s="442">
        <v>23</v>
      </c>
      <c r="F310" s="442">
        <v>30</v>
      </c>
      <c r="G310" s="442">
        <v>22</v>
      </c>
      <c r="H310" s="442">
        <v>23</v>
      </c>
      <c r="Q310" s="442"/>
    </row>
    <row r="311" spans="3:17" x14ac:dyDescent="0.3">
      <c r="C311" s="615"/>
      <c r="D311" s="441">
        <v>3000</v>
      </c>
      <c r="E311" s="442">
        <v>24</v>
      </c>
      <c r="F311" s="442">
        <v>32</v>
      </c>
      <c r="G311" s="442">
        <v>23</v>
      </c>
      <c r="H311" s="442">
        <v>24</v>
      </c>
      <c r="Q311" s="442"/>
    </row>
    <row r="312" spans="3:17" x14ac:dyDescent="0.3">
      <c r="C312" s="615"/>
      <c r="D312" s="441">
        <v>4000</v>
      </c>
      <c r="E312" s="442">
        <v>25</v>
      </c>
      <c r="F312" s="442">
        <v>34</v>
      </c>
      <c r="G312" s="442">
        <v>24</v>
      </c>
      <c r="H312" s="442">
        <v>25</v>
      </c>
      <c r="Q312" s="442"/>
    </row>
    <row r="313" spans="3:17" x14ac:dyDescent="0.3">
      <c r="C313" s="615"/>
      <c r="D313" s="441">
        <v>5000</v>
      </c>
      <c r="E313" s="442">
        <v>26</v>
      </c>
      <c r="F313" s="442">
        <v>36</v>
      </c>
      <c r="G313" s="442">
        <v>25</v>
      </c>
      <c r="H313" s="442">
        <v>26</v>
      </c>
      <c r="Q313" s="442"/>
    </row>
    <row r="314" spans="3:17" ht="15" thickBot="1" x14ac:dyDescent="0.35">
      <c r="C314" s="615"/>
      <c r="D314" s="449" t="s">
        <v>530</v>
      </c>
      <c r="E314" s="450">
        <v>27</v>
      </c>
      <c r="F314" s="450">
        <v>38</v>
      </c>
      <c r="G314" s="450">
        <v>26</v>
      </c>
      <c r="H314" s="450">
        <v>27</v>
      </c>
      <c r="Q314" s="442"/>
    </row>
    <row r="315" spans="3:17" x14ac:dyDescent="0.3">
      <c r="C315" s="615"/>
      <c r="Q315" s="442"/>
    </row>
    <row r="316" spans="3:17" x14ac:dyDescent="0.3">
      <c r="C316" s="615"/>
      <c r="D316" s="436" t="s">
        <v>531</v>
      </c>
      <c r="E316" s="436" t="s">
        <v>532</v>
      </c>
      <c r="F316" s="436" t="s">
        <v>532</v>
      </c>
      <c r="G316" s="436" t="s">
        <v>532</v>
      </c>
      <c r="H316" s="436" t="s">
        <v>532</v>
      </c>
      <c r="Q316" s="442"/>
    </row>
    <row r="317" spans="3:17" x14ac:dyDescent="0.3">
      <c r="C317" s="615"/>
      <c r="D317" s="650">
        <f>Productenlijst!H61+Productenlijst!H62</f>
        <v>0</v>
      </c>
      <c r="E317" s="651">
        <f>IF(D317=0,0,(IF(D317&lt;D299,E299,IF(D317&lt;D300,E300,IF(D317&lt;D301,E301,IF(D317&lt;D302,E302,IF(D317&lt;D303,E303,IF(D317&lt;D304,E304,IF(D317&lt;D305,E305,IF(D317&lt;D306,E306,IF(D317&lt;D307,E307,IF(D317&lt;D308,E308,IF(D317&lt;D309,E309,IF(D317&lt;D310,E310,IF(D317&lt;D311,E311,IF(D317&lt;D312,E312,IF(D317&lt;D313,E313,IF(D317&gt;=D313,E314,"Fout"))))))))))))))))))</f>
        <v>0</v>
      </c>
      <c r="F317" s="651">
        <f>IF(D317=0,0,(IF(D317&lt;D299,F299,IF(D317&lt;D300,F300,IF(D317&lt;D301,F301,IF(D317&lt;D302,F302,IF(D317&lt;D303,F303,IF(D317&lt;D304,F304,IF(D317&lt;D305,F305,IF(D317&lt;D306,F306,IF(D317&lt;D307,F307,IF(D317&lt;D308,F308,IF(D317&lt;D309,F309,IF(D317&lt;D310,F310,IF(D317&lt;D311,F311,IF(D317&lt;D312,F312,IF(D317&lt;D313,F313,IF(D317&gt;=D313,F314,"Fout"))))))))))))))))))*L104</f>
        <v>0</v>
      </c>
      <c r="G317" s="651">
        <f>IF(D317=0,0,(IF(D317&lt;D299,G299,IF(D317&lt;D300,G300,IF(D317&lt;D301,G301,IF(D317&lt;D302,G302,IF(D317&lt;D303,G303,IF(D317&lt;D304,G304,IF(D317&lt;D305,G305,IF(D317&lt;D306,G306,IF(D317&lt;D307,G307,IF(D317&lt;D308,G308,IF(D317&lt;D309,G309,IF(D317&lt;D310,G310,IF(D317&lt;D311,G311,IF(D317&lt;D312,G312,IF(D317&lt;D313,G313,IF(D317&gt;=D313,G314,"Fout"))))))))))))))))))</f>
        <v>0</v>
      </c>
      <c r="H317" s="651">
        <f>IF(D317=0,0,(IF(D317&lt;D299,H299,IF(D317&lt;D300,H300,IF(D317&lt;D301,H301,IF(D317&lt;D302,H302,IF(D317&lt;D303,H303,IF(D317&lt;D304,H304,IF(D317&lt;D305,H305,IF(D317&lt;D306,H306,IF(D317&lt;D307,H307,IF(D317&lt;D308,H308,IF(D317&lt;D309,H309,IF(D317&lt;D310,H310,IF(D317&lt;D311,H311,IF(D317&lt;D312,H312,IF(D317&lt;D313,H313,IF(D317&gt;=D313,H314,"Fout"))))))))))))))))))</f>
        <v>0</v>
      </c>
      <c r="Q317" s="442"/>
    </row>
    <row r="318" spans="3:17" ht="15" thickBot="1" x14ac:dyDescent="0.35">
      <c r="C318" s="616"/>
      <c r="D318" s="617"/>
      <c r="E318" s="617"/>
      <c r="F318" s="617" t="s">
        <v>578</v>
      </c>
      <c r="G318" s="617"/>
      <c r="H318" s="617"/>
      <c r="I318" s="617"/>
      <c r="J318" s="617"/>
      <c r="K318" s="617"/>
      <c r="L318" s="617"/>
      <c r="M318" s="617"/>
      <c r="N318" s="617"/>
      <c r="O318" s="617"/>
      <c r="P318" s="617"/>
      <c r="Q318" s="450"/>
    </row>
    <row r="319" spans="3:17" ht="15" thickBot="1" x14ac:dyDescent="0.35">
      <c r="C319" s="263" t="s">
        <v>577</v>
      </c>
      <c r="D319" s="264"/>
      <c r="E319" s="264"/>
      <c r="F319" s="264"/>
      <c r="G319" s="264"/>
      <c r="H319" s="264"/>
      <c r="I319" s="264"/>
      <c r="J319" s="264"/>
      <c r="K319" s="266"/>
      <c r="L319" s="264"/>
      <c r="M319" s="264"/>
      <c r="N319" s="264"/>
      <c r="O319" s="264"/>
      <c r="P319" s="264"/>
      <c r="Q319" s="264"/>
    </row>
    <row r="320" spans="3:17" x14ac:dyDescent="0.3">
      <c r="C320" s="309"/>
      <c r="D320" s="285"/>
      <c r="E320" s="285"/>
      <c r="F320" s="285"/>
      <c r="G320" s="285"/>
      <c r="H320" s="285"/>
      <c r="I320" s="285"/>
      <c r="J320" s="285"/>
      <c r="K320" s="285"/>
      <c r="L320" s="285"/>
      <c r="M320" s="285"/>
      <c r="N320" s="285"/>
      <c r="O320" s="285"/>
      <c r="P320" s="285"/>
      <c r="Q320" s="302"/>
    </row>
    <row r="321" spans="3:17" x14ac:dyDescent="0.3">
      <c r="C321" s="271"/>
      <c r="D321" s="357">
        <f>Vragenlijst!$E$24/10000</f>
        <v>0</v>
      </c>
      <c r="E321" s="285" t="s">
        <v>386</v>
      </c>
      <c r="F321" s="285"/>
      <c r="G321" s="303"/>
      <c r="H321" s="285"/>
      <c r="I321" s="285"/>
      <c r="J321" s="285"/>
      <c r="K321" s="285"/>
      <c r="L321" s="285"/>
      <c r="M321" s="285"/>
      <c r="N321" s="285"/>
      <c r="O321" s="285"/>
      <c r="P321" s="285"/>
      <c r="Q321" s="302"/>
    </row>
    <row r="322" spans="3:17" x14ac:dyDescent="0.3">
      <c r="C322" s="271"/>
      <c r="D322" s="674">
        <f>IF(D321&lt;1,D324,(IF(D321&lt;5,D325,IF(D321&lt;15,D326,(IF(D321&lt;50,D327,IF(D321&lt;=100,D328,D329)))))))</f>
        <v>1</v>
      </c>
      <c r="E322" s="304" t="s">
        <v>438</v>
      </c>
      <c r="F322" s="285"/>
      <c r="G322" s="285"/>
      <c r="H322" s="285"/>
      <c r="I322" s="285"/>
      <c r="J322" s="285"/>
      <c r="K322" s="285"/>
      <c r="L322" s="285"/>
      <c r="M322" s="350"/>
      <c r="N322" s="285"/>
      <c r="O322" s="285"/>
      <c r="P322" s="285"/>
      <c r="Q322" s="302"/>
    </row>
    <row r="323" spans="3:17" x14ac:dyDescent="0.3">
      <c r="C323" s="271"/>
      <c r="D323" s="285"/>
      <c r="E323" s="285"/>
      <c r="F323" s="285"/>
      <c r="G323" s="285"/>
      <c r="H323" s="285"/>
      <c r="I323" s="285"/>
      <c r="J323" s="285"/>
      <c r="K323" s="285"/>
      <c r="L323" s="285"/>
      <c r="M323" s="285"/>
      <c r="N323" s="285"/>
      <c r="O323" s="285"/>
      <c r="P323" s="285"/>
      <c r="Q323" s="302"/>
    </row>
    <row r="324" spans="3:17" x14ac:dyDescent="0.3">
      <c r="C324" s="271"/>
      <c r="D324" s="285">
        <v>1</v>
      </c>
      <c r="E324" s="285" t="s">
        <v>439</v>
      </c>
      <c r="F324" s="285"/>
      <c r="G324" s="285"/>
      <c r="H324" s="285"/>
      <c r="I324" s="285"/>
      <c r="J324" s="285"/>
      <c r="K324" s="285"/>
      <c r="L324" s="285"/>
      <c r="M324" s="285"/>
      <c r="N324" s="285"/>
      <c r="O324" s="285"/>
      <c r="P324" s="285"/>
      <c r="Q324" s="302"/>
    </row>
    <row r="325" spans="3:17" x14ac:dyDescent="0.3">
      <c r="C325" s="271"/>
      <c r="D325" s="285">
        <v>1.25</v>
      </c>
      <c r="E325" s="285" t="s">
        <v>440</v>
      </c>
      <c r="F325" s="304"/>
      <c r="G325" s="285"/>
      <c r="H325" s="285"/>
      <c r="I325" s="285"/>
      <c r="J325" s="285"/>
      <c r="K325" s="285"/>
      <c r="L325" s="285"/>
      <c r="M325" s="285"/>
      <c r="N325" s="285"/>
      <c r="O325" s="285"/>
      <c r="P325" s="285"/>
      <c r="Q325" s="302"/>
    </row>
    <row r="326" spans="3:17" x14ac:dyDescent="0.3">
      <c r="C326" s="271"/>
      <c r="D326" s="275">
        <v>1.5</v>
      </c>
      <c r="E326" s="285" t="s">
        <v>441</v>
      </c>
      <c r="F326" s="285"/>
      <c r="G326" s="285"/>
      <c r="H326" s="285"/>
      <c r="I326" s="285"/>
      <c r="J326" s="285"/>
      <c r="K326" s="285"/>
      <c r="L326" s="285"/>
      <c r="M326" s="285"/>
      <c r="N326" s="285"/>
      <c r="O326" s="285"/>
      <c r="P326" s="285"/>
      <c r="Q326" s="302"/>
    </row>
    <row r="327" spans="3:17" x14ac:dyDescent="0.3">
      <c r="C327" s="271"/>
      <c r="D327" s="275">
        <v>1.75</v>
      </c>
      <c r="E327" s="285" t="s">
        <v>442</v>
      </c>
      <c r="F327" s="285"/>
      <c r="G327" s="285"/>
      <c r="H327" s="285"/>
      <c r="I327" s="285"/>
      <c r="J327" s="285"/>
      <c r="K327" s="285"/>
      <c r="L327" s="285"/>
      <c r="M327" s="285"/>
      <c r="N327" s="285"/>
      <c r="O327" s="285"/>
      <c r="P327" s="285"/>
      <c r="Q327" s="302"/>
    </row>
    <row r="328" spans="3:17" x14ac:dyDescent="0.3">
      <c r="C328" s="271"/>
      <c r="D328" s="275">
        <v>2</v>
      </c>
      <c r="E328" s="285" t="s">
        <v>443</v>
      </c>
      <c r="F328" s="285"/>
      <c r="G328" s="285"/>
      <c r="H328" s="285"/>
      <c r="I328" s="285"/>
      <c r="J328" s="285"/>
      <c r="K328" s="285"/>
      <c r="L328" s="285"/>
      <c r="M328" s="285"/>
      <c r="N328" s="285"/>
      <c r="O328" s="285"/>
      <c r="P328" s="285"/>
      <c r="Q328" s="302"/>
    </row>
    <row r="329" spans="3:17" x14ac:dyDescent="0.3">
      <c r="C329" s="271"/>
      <c r="D329" s="275">
        <v>2.25</v>
      </c>
      <c r="E329" s="285" t="s">
        <v>444</v>
      </c>
      <c r="F329" s="285"/>
      <c r="G329" s="285"/>
      <c r="H329" s="285"/>
      <c r="I329" s="285"/>
      <c r="J329" s="285"/>
      <c r="K329" s="285"/>
      <c r="L329" s="285"/>
      <c r="M329" s="285"/>
      <c r="N329" s="285"/>
      <c r="O329" s="285"/>
      <c r="P329" s="285"/>
      <c r="Q329" s="302"/>
    </row>
    <row r="330" spans="3:17" ht="15" thickBot="1" x14ac:dyDescent="0.35">
      <c r="C330" s="306"/>
      <c r="D330" s="310"/>
      <c r="E330" s="310"/>
      <c r="F330" s="310"/>
      <c r="G330" s="307"/>
      <c r="H330" s="307"/>
      <c r="I330" s="307"/>
      <c r="J330" s="307"/>
      <c r="K330" s="307"/>
      <c r="L330" s="307"/>
      <c r="M330" s="307"/>
      <c r="N330" s="307"/>
      <c r="O330" s="307"/>
      <c r="P330" s="307"/>
      <c r="Q330" s="308"/>
    </row>
  </sheetData>
  <sheetProtection algorithmName="SHA-512" hashValue="QNXJEY31ALwS5ymvRH+yGygPvuv18nHRIc0HgtxI26Q7anNEO6Cq2gBcvhLB+XpDm9DzPdh8x/KJOw1mkbtpKQ==" saltValue="QVxr9tAEMIKrTfYxnutHyA==" spinCount="100000" sheet="1" objects="1" scenarios="1"/>
  <mergeCells count="6">
    <mergeCell ref="C195:D195"/>
    <mergeCell ref="C190:D190"/>
    <mergeCell ref="C191:D191"/>
    <mergeCell ref="C192:D192"/>
    <mergeCell ref="C193:D193"/>
    <mergeCell ref="C194:D194"/>
  </mergeCells>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44B2F872E7ACA84EB0C2021BCEDB5044" ma:contentTypeVersion="16" ma:contentTypeDescription="Een nieuw document maken." ma:contentTypeScope="" ma:versionID="3960023deae2c2779ed69cecd5e19737">
  <xsd:schema xmlns:xsd="http://www.w3.org/2001/XMLSchema" xmlns:xs="http://www.w3.org/2001/XMLSchema" xmlns:p="http://schemas.microsoft.com/office/2006/metadata/properties" xmlns:ns2="c2f7fb2a-095a-4a75-82b2-52d6e047bc2f" xmlns:ns3="e4468272-9c99-4f56-b447-bafb1632494c" targetNamespace="http://schemas.microsoft.com/office/2006/metadata/properties" ma:root="true" ma:fieldsID="5d366ea9078b56494a46c9d2467342e5" ns2:_="" ns3:_="">
    <xsd:import namespace="c2f7fb2a-095a-4a75-82b2-52d6e047bc2f"/>
    <xsd:import namespace="e4468272-9c99-4f56-b447-bafb1632494c"/>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GenerationTime" minOccurs="0"/>
                <xsd:element ref="ns2:MediaServiceEventHashCode" minOccurs="0"/>
                <xsd:element ref="ns2:MediaServiceSearchProperties" minOccurs="0"/>
                <xsd:element ref="ns2:MediaServiceObjectDetectorVersions" minOccurs="0"/>
                <xsd:element ref="ns2:lcf76f155ced4ddcb4097134ff3c332f" minOccurs="0"/>
                <xsd:element ref="ns3:TaxCatchAll" minOccurs="0"/>
                <xsd:element ref="ns2:MediaServiceOCR" minOccurs="0"/>
                <xsd:element ref="ns2:MediaLengthInSeconds" minOccurs="0"/>
                <xsd:element ref="ns2:MediaServiceLocation" minOccurs="0"/>
                <xsd:element ref="ns2:Inhoud"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2f7fb2a-095a-4a75-82b2-52d6e047bc2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SearchProperties" ma:index="14" nillable="true" ma:displayName="MediaServiceSearchProperties" ma:hidden="true" ma:internalName="MediaServiceSearchProperties" ma:readOnly="true">
      <xsd:simpleType>
        <xsd:restriction base="dms:Note"/>
      </xsd:simple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lcf76f155ced4ddcb4097134ff3c332f" ma:index="17" nillable="true" ma:taxonomy="true" ma:internalName="lcf76f155ced4ddcb4097134ff3c332f" ma:taxonomyFieldName="MediaServiceImageTags" ma:displayName="Afbeeldingtags" ma:readOnly="false" ma:fieldId="{5cf76f15-5ced-4ddc-b409-7134ff3c332f}" ma:taxonomyMulti="true" ma:sspId="f72e099f-4adc-4ddc-aeb7-7f22987cb2c9"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indexed="true" ma:internalName="MediaServiceLocation" ma:readOnly="true">
      <xsd:simpleType>
        <xsd:restriction base="dms:Text"/>
      </xsd:simpleType>
    </xsd:element>
    <xsd:element name="Inhoud" ma:index="22" nillable="true" ma:displayName="Inhoud" ma:format="Dropdown" ma:internalName="Inhoud">
      <xsd:simpleType>
        <xsd:restriction base="dms:Note">
          <xsd:maxLength value="255"/>
        </xsd:restriction>
      </xsd:simpleType>
    </xsd:element>
    <xsd:element name="MediaServiceBillingMetadata" ma:index="23"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e4468272-9c99-4f56-b447-bafb1632494c"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6ad7a1af-9039-48c2-bce8-447f66bd27d3}" ma:internalName="TaxCatchAll" ma:showField="CatchAllData" ma:web="e4468272-9c99-4f56-b447-bafb1632494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c2f7fb2a-095a-4a75-82b2-52d6e047bc2f">
      <Terms xmlns="http://schemas.microsoft.com/office/infopath/2007/PartnerControls"/>
    </lcf76f155ced4ddcb4097134ff3c332f>
    <TaxCatchAll xmlns="e4468272-9c99-4f56-b447-bafb1632494c" xsi:nil="true"/>
    <Inhoud xmlns="c2f7fb2a-095a-4a75-82b2-52d6e047bc2f" xsi:nil="true"/>
  </documentManagement>
</p:properties>
</file>

<file path=customXml/itemProps1.xml><?xml version="1.0" encoding="utf-8"?>
<ds:datastoreItem xmlns:ds="http://schemas.openxmlformats.org/officeDocument/2006/customXml" ds:itemID="{98268A14-5EBD-4C48-AB03-D7D74E7C2B1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2f7fb2a-095a-4a75-82b2-52d6e047bc2f"/>
    <ds:schemaRef ds:uri="e4468272-9c99-4f56-b447-bafb1632494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61B2BF50-7814-40CB-A212-F7EF828BB5D1}">
  <ds:schemaRefs>
    <ds:schemaRef ds:uri="http://schemas.microsoft.com/sharepoint/v3/contenttype/forms"/>
  </ds:schemaRefs>
</ds:datastoreItem>
</file>

<file path=customXml/itemProps3.xml><?xml version="1.0" encoding="utf-8"?>
<ds:datastoreItem xmlns:ds="http://schemas.openxmlformats.org/officeDocument/2006/customXml" ds:itemID="{BEFE528C-BB5E-490B-829B-D2EC944005BB}">
  <ds:schemaRefs>
    <ds:schemaRef ds:uri="http://schemas.openxmlformats.org/package/2006/metadata/core-properties"/>
    <ds:schemaRef ds:uri="http://purl.org/dc/elements/1.1/"/>
    <ds:schemaRef ds:uri="http://schemas.microsoft.com/office/infopath/2007/PartnerControls"/>
    <ds:schemaRef ds:uri="http://www.w3.org/XML/1998/namespace"/>
    <ds:schemaRef ds:uri="c2f7fb2a-095a-4a75-82b2-52d6e047bc2f"/>
    <ds:schemaRef ds:uri="http://purl.org/dc/dcmitype/"/>
    <ds:schemaRef ds:uri="http://purl.org/dc/terms/"/>
    <ds:schemaRef ds:uri="http://schemas.microsoft.com/office/2006/documentManagement/types"/>
    <ds:schemaRef ds:uri="e4468272-9c99-4f56-b447-bafb1632494c"/>
    <ds:schemaRef ds:uri="http://schemas.microsoft.com/office/2006/metadata/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Werkbladen</vt:lpstr>
      </vt:variant>
      <vt:variant>
        <vt:i4>11</vt:i4>
      </vt:variant>
    </vt:vector>
  </HeadingPairs>
  <TitlesOfParts>
    <vt:vector size="11" baseType="lpstr">
      <vt:lpstr>Titel</vt:lpstr>
      <vt:lpstr>Invulinstructie</vt:lpstr>
      <vt:lpstr>Vragenlijst</vt:lpstr>
      <vt:lpstr>Productenlijst</vt:lpstr>
      <vt:lpstr>Resultaat</vt:lpstr>
      <vt:lpstr>Kernoutput</vt:lpstr>
      <vt:lpstr>Bijdrage per eigenaar</vt:lpstr>
      <vt:lpstr>Onderbouwing CT</vt:lpstr>
      <vt:lpstr>Staffels &amp; Tabellen</vt:lpstr>
      <vt:lpstr>Uurtarieven</vt:lpstr>
      <vt:lpstr>Drop Down </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Metafoor Ruimtelijke Ontwikkeling</dc:creator>
  <cp:keywords/>
  <dc:description/>
  <cp:lastModifiedBy>Nico Harkes | nextvastgoed</cp:lastModifiedBy>
  <cp:revision/>
  <dcterms:created xsi:type="dcterms:W3CDTF">2024-11-07T09:40:04Z</dcterms:created>
  <dcterms:modified xsi:type="dcterms:W3CDTF">2026-07-07T11:22:55Z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0x01010044B2F872E7ACA84EB0C2021BCEDB5044</vt:lpwstr>
  </property>
  <property fmtid="{D5CDD505-2E9C-101B-9397-08002B2CF9AE}" pid="3" name="MediaServiceImageTags">
    <vt:lpwstr/>
  </property>
</Properties>
</file>